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16" yWindow="65416" windowWidth="29040" windowHeight="15840" activeTab="0"/>
  </bookViews>
  <sheets>
    <sheet name="Rekapitulace" sheetId="6" r:id="rId1"/>
    <sheet name="Krycí list rozpočtu SO01" sheetId="2" r:id="rId2"/>
    <sheet name="Stavební rozpočet SO01" sheetId="1" r:id="rId3"/>
    <sheet name="Krycí list rozpočtu SO02" sheetId="4" r:id="rId4"/>
    <sheet name="Stavební rozpočet SO02" sheetId="5" r:id="rId5"/>
    <sheet name="VORN" sheetId="3" state="hidden" r:id="rId6"/>
  </sheets>
  <externalReferences>
    <externalReference r:id="rId9"/>
  </externalReferences>
  <definedNames>
    <definedName name="vorn_sum" localSheetId="3">'[1]VORN'!$I$36</definedName>
    <definedName name="vorn_sum" localSheetId="4">'[1]VORN'!$I$36</definedName>
    <definedName name="vorn_sum">'VORN'!$I$36</definedName>
  </definedNames>
  <calcPr calcId="191029"/>
</workbook>
</file>

<file path=xl/sharedStrings.xml><?xml version="1.0" encoding="utf-8"?>
<sst xmlns="http://schemas.openxmlformats.org/spreadsheetml/2006/main" count="2375" uniqueCount="456">
  <si>
    <t>Slepý stavební rozpočet</t>
  </si>
  <si>
    <t>Název stavby:</t>
  </si>
  <si>
    <t>Doba výstavby:</t>
  </si>
  <si>
    <t xml:space="preserve"> </t>
  </si>
  <si>
    <t>Objednatel:</t>
  </si>
  <si>
    <t>Město Litvínov</t>
  </si>
  <si>
    <t>Druh stavby:</t>
  </si>
  <si>
    <t>SO 01- PAVILON A, pozemek p.č. 344/1 k.ú. Janov u Litvínova</t>
  </si>
  <si>
    <t>Začátek výstavby:</t>
  </si>
  <si>
    <t>Projektant:</t>
  </si>
  <si>
    <t>SDP LITVÍNOV, spol. s r.o.</t>
  </si>
  <si>
    <t>Lokalita:</t>
  </si>
  <si>
    <t>pozemek  p.č. 344/1, v k.ú. Janov u Litvínova</t>
  </si>
  <si>
    <t>Konec výstavby:</t>
  </si>
  <si>
    <t>Zhotovitel:</t>
  </si>
  <si>
    <t>JKSO:</t>
  </si>
  <si>
    <t>Zpracováno dne:</t>
  </si>
  <si>
    <t>09.04.2024</t>
  </si>
  <si>
    <t>Zpracoval:</t>
  </si>
  <si>
    <t>Kamila Možná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</si>
  <si>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</si>
  <si>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</si>
  <si>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</si>
  <si>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</si>
  <si>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</si>
  <si>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</si>
  <si>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</si>
  <si>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</si>
  <si>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</si>
  <si>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</si>
  <si>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VATTAX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</si>
  <si>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</si>
  <si>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</si>
  <si>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</si>
  <si>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</si>
  <si>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</si>
  <si>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</si>
  <si>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</si>
  <si>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</si>
  <si>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</si>
  <si>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</si>
  <si>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</si>
  <si>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</si>
  <si>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</si>
  <si>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</si>
  <si>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</si>
  <si>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</si>
  <si>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</si>
  <si>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</si>
  <si>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/>
  </si>
  <si>
    <t>0</t>
  </si>
  <si>
    <t>Všeobecné konstrukce a práce</t>
  </si>
  <si>
    <t>1</t>
  </si>
  <si>
    <t>001001109VD</t>
  </si>
  <si>
    <t>Demontáž hromosvodu a případná výměna lan bleskosvodů - rozsah dle posouzení st. stavu</t>
  </si>
  <si>
    <t>kompl</t>
  </si>
  <si>
    <t>0_</t>
  </si>
  <si>
    <t>_</t>
  </si>
  <si>
    <t>1;H;</t>
  </si>
  <si>
    <t>2</t>
  </si>
  <si>
    <t>001332213VD</t>
  </si>
  <si>
    <t>Záchytný systém</t>
  </si>
  <si>
    <t>1;záchytný systém;</t>
  </si>
  <si>
    <t>712</t>
  </si>
  <si>
    <t>Izolace střech (živičné krytiny)</t>
  </si>
  <si>
    <t>3</t>
  </si>
  <si>
    <t>712110011VD</t>
  </si>
  <si>
    <t>Dodávka a osazení střešní vpusti s ochranným košem</t>
  </si>
  <si>
    <t>kus</t>
  </si>
  <si>
    <t>7</t>
  </si>
  <si>
    <t>712_</t>
  </si>
  <si>
    <t>71_</t>
  </si>
  <si>
    <t>3;O-A;;</t>
  </si>
  <si>
    <t>2;O-A1;</t>
  </si>
  <si>
    <t>1;O-A2;</t>
  </si>
  <si>
    <t>4</t>
  </si>
  <si>
    <t>712310901R00</t>
  </si>
  <si>
    <t>Údržba krytiny střech do 10°, za studena ALP - vyrovnání podkladu</t>
  </si>
  <si>
    <t>m2</t>
  </si>
  <si>
    <t>RTS I / 2024</t>
  </si>
  <si>
    <t>965;plocha střechy A;</t>
  </si>
  <si>
    <t>360;plocha střechy A1;</t>
  </si>
  <si>
    <t>54,96*2*0,59+18,9*(0,27+0,24);plocha atiky A;</t>
  </si>
  <si>
    <t>21,64*(0,54+0,66)+17,6*(0,55+0,59);plocha atiky A1;</t>
  </si>
  <si>
    <t>(21,64+17,6)*2*0,3;vnitřní hraha atiky A1;</t>
  </si>
  <si>
    <t>(54,95+18,9)*2*0,3;vnitřní hrana atiky A;</t>
  </si>
  <si>
    <t>5</t>
  </si>
  <si>
    <t>11163111</t>
  </si>
  <si>
    <t>Lak asfaltový</t>
  </si>
  <si>
    <t>kg</t>
  </si>
  <si>
    <t>1513,3778*1,15*0,5;plocha krát ztratné krát jednotková hmotnost;</t>
  </si>
  <si>
    <t>6</t>
  </si>
  <si>
    <t>Údržba krytiny střech do 10°, za studena ALP - atika</t>
  </si>
  <si>
    <t>74,5;plocha atiky A;</t>
  </si>
  <si>
    <t>46;plocha atiky A1;</t>
  </si>
  <si>
    <t>27*2*(0,33+0,34)+3,3*0,27;plocha atiky A2;</t>
  </si>
  <si>
    <t>11163230</t>
  </si>
  <si>
    <t>Emulze asfaltová penetrační  DEKPRIMER</t>
  </si>
  <si>
    <t>157,5*1,15*0,5;plocha krát ztratné krát jednotková hmotnost;</t>
  </si>
  <si>
    <t>8</t>
  </si>
  <si>
    <t>712341559R00</t>
  </si>
  <si>
    <t>Povlaková krytina střech do 10°, NAIP přitavením - atika</t>
  </si>
  <si>
    <t>157,5;plocha atik celková;</t>
  </si>
  <si>
    <t>9</t>
  </si>
  <si>
    <t>62852265</t>
  </si>
  <si>
    <t>Pás modifikovaný asfalt Glastek 40 special mineral</t>
  </si>
  <si>
    <t>157,5*1,15;plocha krát ztratné;</t>
  </si>
  <si>
    <t>10</t>
  </si>
  <si>
    <t>712351111R00</t>
  </si>
  <si>
    <t>Povlaková krytina střech do 10°,samolepicím pásem - atika</t>
  </si>
  <si>
    <t>157,5*2;plocha atiky A+A1;</t>
  </si>
  <si>
    <t>11</t>
  </si>
  <si>
    <t>628522699</t>
  </si>
  <si>
    <t>Pás modif. asfalt samolep Glastek 30 sticker ultra</t>
  </si>
  <si>
    <t>315*1,15;plocha krát ztratné;</t>
  </si>
  <si>
    <t>12</t>
  </si>
  <si>
    <t>157,5;plocha atiky;</t>
  </si>
  <si>
    <t>13</t>
  </si>
  <si>
    <t>628113525VD</t>
  </si>
  <si>
    <t>Výztužný pás</t>
  </si>
  <si>
    <t>14</t>
  </si>
  <si>
    <t>15</t>
  </si>
  <si>
    <t>628522531</t>
  </si>
  <si>
    <t>Pás modifikovaný asfalt Elastek 40 Combi modrozel.</t>
  </si>
  <si>
    <t>16</t>
  </si>
  <si>
    <t>Povlaková krytina střech do 10°,samolepicím pásem - střecha</t>
  </si>
  <si>
    <t>17</t>
  </si>
  <si>
    <t>1325*1,15;plocha krát ztratné;</t>
  </si>
  <si>
    <t>18</t>
  </si>
  <si>
    <t>Povlaková krytina střech do 10°, NAIP přitavením - střecha</t>
  </si>
  <si>
    <t>19</t>
  </si>
  <si>
    <t>965*1,15;plocha krát ztratné;</t>
  </si>
  <si>
    <t>20</t>
  </si>
  <si>
    <t>21</t>
  </si>
  <si>
    <t>628522530</t>
  </si>
  <si>
    <t>Pás modifikovaný asfalt Elastek 40 Firestop modroz</t>
  </si>
  <si>
    <t>22</t>
  </si>
  <si>
    <t>23</t>
  </si>
  <si>
    <t>360*1,15;plocha krát ztratné;</t>
  </si>
  <si>
    <t>24</t>
  </si>
  <si>
    <t>72;plocha střechy A2;</t>
  </si>
  <si>
    <t>25</t>
  </si>
  <si>
    <t>62842020</t>
  </si>
  <si>
    <t>Poly-Elast Rapid O sanační asfaltový pás zelený</t>
  </si>
  <si>
    <t>72*1,15;plocha krát ztratné;</t>
  </si>
  <si>
    <t>26</t>
  </si>
  <si>
    <t>Povlaková krytina střech do 10°,samolepicím pásem - vnitřní hrana atiky</t>
  </si>
  <si>
    <t>326,78*0,3*2;vnitřní hrana atiky;</t>
  </si>
  <si>
    <t>27</t>
  </si>
  <si>
    <t>196,068*1,15;plocha krát ztratné;</t>
  </si>
  <si>
    <t>28</t>
  </si>
  <si>
    <t>326,78*0,3;vnitřní hrana atiky;</t>
  </si>
  <si>
    <t>29</t>
  </si>
  <si>
    <t>98,034*1,15;plocha krát ztratné;</t>
  </si>
  <si>
    <t>30</t>
  </si>
  <si>
    <t>Povlaková krytina střech do 10°, NAIP přitavením - vnitřní hrana atiky</t>
  </si>
  <si>
    <t>31</t>
  </si>
  <si>
    <t>32</t>
  </si>
  <si>
    <t>33</t>
  </si>
  <si>
    <t>713</t>
  </si>
  <si>
    <t>Izolace tepelné</t>
  </si>
  <si>
    <t>34</t>
  </si>
  <si>
    <t>713141151R00</t>
  </si>
  <si>
    <t>Izolace tepelná střech vkládaná mezi hranoly 1vrstvá - atika</t>
  </si>
  <si>
    <t>713_</t>
  </si>
  <si>
    <t>157,5;viz plocha atiky;</t>
  </si>
  <si>
    <t>35</t>
  </si>
  <si>
    <t>28375704</t>
  </si>
  <si>
    <t>Deska izolační stabilizov. EPS 100  1000 x 500 mm</t>
  </si>
  <si>
    <t>m3</t>
  </si>
  <si>
    <t>157,5*0,15;plocha krát tloušťka;</t>
  </si>
  <si>
    <t>23,625*0,05;ztratné;</t>
  </si>
  <si>
    <t>36</t>
  </si>
  <si>
    <t>713141312R00</t>
  </si>
  <si>
    <t>Izolace tepelná střech do tl.160 mm,1vrstva,kotvy - vnitřní hrana atiky</t>
  </si>
  <si>
    <t>37</t>
  </si>
  <si>
    <t>98,034*0,08;plocha krát tloušťka;</t>
  </si>
  <si>
    <t>7,84272*0,05;ztratné;</t>
  </si>
  <si>
    <t>38</t>
  </si>
  <si>
    <t>713141323R00</t>
  </si>
  <si>
    <t>Izolace tepelná střech do tl.200 mm,2vrstvy,kotvy - střecha</t>
  </si>
  <si>
    <t>39</t>
  </si>
  <si>
    <t>965*0,2;plocha krát průměrná tloušťka;</t>
  </si>
  <si>
    <t>193*0,05;ztratné;</t>
  </si>
  <si>
    <t>40</t>
  </si>
  <si>
    <t>713141322R00</t>
  </si>
  <si>
    <t>Izolace tepelná střech do tl.160 mm,2vrstvy,kotvy - střecha</t>
  </si>
  <si>
    <t>360;plocha střechy A1;;</t>
  </si>
  <si>
    <t>41</t>
  </si>
  <si>
    <t>360*0,1;plocha krát tloušťka;</t>
  </si>
  <si>
    <t>36*0,05;ztratné;</t>
  </si>
  <si>
    <t>42</t>
  </si>
  <si>
    <t>63140104</t>
  </si>
  <si>
    <t>Deska minerální vlákno tl. 100 mm</t>
  </si>
  <si>
    <t>1*1*2;střecha A1;</t>
  </si>
  <si>
    <t>2*0,05;ztratné;</t>
  </si>
  <si>
    <t>43</t>
  </si>
  <si>
    <t>Izolace tepelná střech do tl.160 mm,1vrstva,kotvy - náběhový klín</t>
  </si>
  <si>
    <t>326,78*0,05;atika;</t>
  </si>
  <si>
    <t>44</t>
  </si>
  <si>
    <t>63140103</t>
  </si>
  <si>
    <t>Deska minerální vlákno  tl. 60 mm</t>
  </si>
  <si>
    <t>16,339*1,05;plocha krát ztratné;</t>
  </si>
  <si>
    <t>721</t>
  </si>
  <si>
    <t>Vnitřní kanalizace</t>
  </si>
  <si>
    <t>45</t>
  </si>
  <si>
    <t>721210823R00</t>
  </si>
  <si>
    <t>Demontáž střešní vpusti</t>
  </si>
  <si>
    <t>721_</t>
  </si>
  <si>
    <t>72_</t>
  </si>
  <si>
    <t>3;B7-A;</t>
  </si>
  <si>
    <t>2;B7-A1;</t>
  </si>
  <si>
    <t>1;B7-A2;</t>
  </si>
  <si>
    <t>46</t>
  </si>
  <si>
    <t>721111112VD</t>
  </si>
  <si>
    <t>Úprava stáv. odvětrání kanalizace - prodloužení potrubí 0,5m nad střešní rovinu</t>
  </si>
  <si>
    <t>2;1-A;</t>
  </si>
  <si>
    <t>762</t>
  </si>
  <si>
    <t>Konstrukce tesařské</t>
  </si>
  <si>
    <t>47</t>
  </si>
  <si>
    <t>762110011VD</t>
  </si>
  <si>
    <t>Pokládka impreg. hranolů vč. dodávky hranolu - atika</t>
  </si>
  <si>
    <t>m</t>
  </si>
  <si>
    <t>762_</t>
  </si>
  <si>
    <t>76_</t>
  </si>
  <si>
    <t>326,78;atika;</t>
  </si>
  <si>
    <t>326,78*0,03;prořez;</t>
  </si>
  <si>
    <t>763</t>
  </si>
  <si>
    <t>Dřevostavby</t>
  </si>
  <si>
    <t>48</t>
  </si>
  <si>
    <t>763613212R00</t>
  </si>
  <si>
    <t>M.záklopu desek nad tl.18 mm</t>
  </si>
  <si>
    <t>763_</t>
  </si>
  <si>
    <t>157,5;atika;</t>
  </si>
  <si>
    <t>49</t>
  </si>
  <si>
    <t>606233006</t>
  </si>
  <si>
    <t>Překližka vodovzdorná bříza tl. 21 mm jak. S/BB</t>
  </si>
  <si>
    <t>157,5;viz montáž;</t>
  </si>
  <si>
    <t>157,5*0,03;prořez;</t>
  </si>
  <si>
    <t>764</t>
  </si>
  <si>
    <t>Konstrukce klempířské</t>
  </si>
  <si>
    <t>764_</t>
  </si>
  <si>
    <t>764430840R00</t>
  </si>
  <si>
    <t>Demontáž oplechování atiky</t>
  </si>
  <si>
    <t>326,78;B2-délka viz nový stav;</t>
  </si>
  <si>
    <t>764221122VD</t>
  </si>
  <si>
    <t>Odstranění těles VZT z oc. plechu</t>
  </si>
  <si>
    <t>1;B6-A1;</t>
  </si>
  <si>
    <t>764221130VD</t>
  </si>
  <si>
    <t>Těleso odvětrání z TiZn plechu</t>
  </si>
  <si>
    <t>1;A1;</t>
  </si>
  <si>
    <t>764430350RT2</t>
  </si>
  <si>
    <t xml:space="preserve">Oplechování atiky včetně rohů z Al, rš 587 mm vč. povrch. úpravy </t>
  </si>
  <si>
    <t>(54,96+18,9)*2;1/K-A;</t>
  </si>
  <si>
    <t>(21,64*2+17,6)*2;1/K-A1;</t>
  </si>
  <si>
    <t>27*2+3,3;1/K-A2;</t>
  </si>
  <si>
    <t>764333300RAA</t>
  </si>
  <si>
    <t xml:space="preserve">Příponkový plech z Al plechu vč. povrch. úpravy </t>
  </si>
  <si>
    <t>326,78;1/K;</t>
  </si>
  <si>
    <t>95</t>
  </si>
  <si>
    <t>Různé dokončovací konstrukce a práce na pozemních stavbách</t>
  </si>
  <si>
    <t>952901411R00</t>
  </si>
  <si>
    <t>Vyčištění ostatních objektů - střecha</t>
  </si>
  <si>
    <t>95_</t>
  </si>
  <si>
    <t>9_</t>
  </si>
  <si>
    <t>965+360+72;plocha střechy;</t>
  </si>
  <si>
    <t>H99</t>
  </si>
  <si>
    <t>Ostatní přesuny hmot</t>
  </si>
  <si>
    <t>999281111R00</t>
  </si>
  <si>
    <t>Přesun hmot pro opravy a údržbu do výšky 25 m</t>
  </si>
  <si>
    <t>t</t>
  </si>
  <si>
    <t>H99_</t>
  </si>
  <si>
    <t>34,73862;viz hmotnost;</t>
  </si>
  <si>
    <t>S</t>
  </si>
  <si>
    <t>Přesuny sutí</t>
  </si>
  <si>
    <t>979011111R00</t>
  </si>
  <si>
    <t>Svislá doprava suti a vybour. hmot za 2.NP a 1.PP</t>
  </si>
  <si>
    <t>S_</t>
  </si>
  <si>
    <t>0,87225;viz hmotnost;</t>
  </si>
  <si>
    <t>60</t>
  </si>
  <si>
    <t>979082212R00</t>
  </si>
  <si>
    <t>Vodorovná doprava suti po suchu do 50 m</t>
  </si>
  <si>
    <t>979087113R00</t>
  </si>
  <si>
    <t>Nakládání vybour.hmot na doprav.prostředky</t>
  </si>
  <si>
    <t>979081111R00</t>
  </si>
  <si>
    <t>Odvoz suti a vybour. hmot na skládku do 1 km</t>
  </si>
  <si>
    <t>979081121R00</t>
  </si>
  <si>
    <t>Příplatek k odvozu za každý další 1 km</t>
  </si>
  <si>
    <t>0,87225*19;viz hmotnost-odvoz celkem do 20km;</t>
  </si>
  <si>
    <t>979999999R00</t>
  </si>
  <si>
    <t>Poplatek za skládku</t>
  </si>
  <si>
    <t>012VD</t>
  </si>
  <si>
    <t>vrn</t>
  </si>
  <si>
    <t>012111111VD</t>
  </si>
  <si>
    <t>Zařízení staveniště</t>
  </si>
  <si>
    <t>%</t>
  </si>
  <si>
    <t>012VD_</t>
  </si>
  <si>
    <t>012111113VD</t>
  </si>
  <si>
    <t>Provozní vlivy</t>
  </si>
  <si>
    <t>Celkem:</t>
  </si>
  <si>
    <t>Poznámka:</t>
  </si>
  <si>
    <t>Krycí list slepého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</si>
  <si>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</si>
  <si>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</si>
  <si>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</si>
  <si>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</si>
  <si>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</si>
  <si>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</si>
  <si>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</si>
  <si>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</si>
  <si>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</si>
  <si>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</si>
  <si>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</si>
  <si>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</si>
  <si>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</si>
  <si>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</si>
  <si>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</si>
  <si>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</si>
  <si>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</si>
  <si>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Územní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</si>
  <si>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</si>
  <si>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</si>
  <si>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</si>
  <si>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</si>
  <si>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</si>
  <si>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</si>
  <si>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</si>
  <si>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</si>
  <si>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</si>
  <si>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</si>
  <si>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</si>
  <si>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</si>
  <si>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</si>
  <si>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</si>
  <si>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</si>
  <si>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</si>
  <si>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</si>
  <si>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</si>
  <si>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</si>
  <si>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</si>
  <si>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</si>
  <si>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</si>
  <si>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</si>
  <si>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</si>
  <si>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</si>
  <si>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</si>
  <si>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</si>
  <si>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</si>
  <si>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</si>
  <si>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</si>
  <si>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</si>
  <si>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</si>
  <si>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</si>
  <si>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</si>
  <si>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SO 02 - PAVILON B, pozemek p.č. 344/1 k.ú. Janov u Litvínova</t>
  </si>
  <si>
    <t>001332211VD</t>
  </si>
  <si>
    <t>Oprava tělesa výlezu na střechu</t>
  </si>
  <si>
    <t>1;V;</t>
  </si>
  <si>
    <t>2;O;</t>
  </si>
  <si>
    <t>(36,58+16,16)*2*0,3+2,9*0,12*2;atika;</t>
  </si>
  <si>
    <t>32,34*1,15*0,5;plocha krát ztratné krát jednotková hmotnost;</t>
  </si>
  <si>
    <t>32,34;plocha atiky;</t>
  </si>
  <si>
    <t>32,34*1,15;plocha krát ztratné;</t>
  </si>
  <si>
    <t>32,34*2;plocha atiky;</t>
  </si>
  <si>
    <t>64,68*1,15;plocha krát ztratné;</t>
  </si>
  <si>
    <t>548;plocha střechy;</t>
  </si>
  <si>
    <t>548*1,15;plocha krát ztratné;</t>
  </si>
  <si>
    <t>105,48*0,3*2;vnitřní hrana atiky;</t>
  </si>
  <si>
    <t>63,288*1,15;plocha krát ztratné;</t>
  </si>
  <si>
    <t>105,48*0,3;vnitřní hrana atiky;</t>
  </si>
  <si>
    <t>31,644*1,15;plocha krát ztratné;</t>
  </si>
  <si>
    <t xml:space="preserve">Povlaková krytina střech do 10°, NAIP přitavením - střešní výlez </t>
  </si>
  <si>
    <t>(1,2+0,9)*2*0,3;střešní výlez;</t>
  </si>
  <si>
    <t>62852251</t>
  </si>
  <si>
    <t xml:space="preserve">Pás asfaltový modifikovaný ELASTEK 40 SPECIAL MINERAL </t>
  </si>
  <si>
    <t>1,2*1,15;plocha krát ztratné;</t>
  </si>
  <si>
    <t>32,34;viz plocha atiky;</t>
  </si>
  <si>
    <t>32,34*0,15;plocha krát tloušťka;</t>
  </si>
  <si>
    <t>4,851*0,05;ztratné;</t>
  </si>
  <si>
    <t>31,644*0,08;plocha krát tloušťka;</t>
  </si>
  <si>
    <t>2,53152*0,05;ztratné;</t>
  </si>
  <si>
    <t>548*0,14;plocha krát tloušťka;</t>
  </si>
  <si>
    <t>76,72*0,05;ztratné;</t>
  </si>
  <si>
    <t>105,48*0,05;atika;</t>
  </si>
  <si>
    <t>5,274*1,05;plocha krát ztratné;</t>
  </si>
  <si>
    <t>2;B7;</t>
  </si>
  <si>
    <t>721273146R00</t>
  </si>
  <si>
    <t>Odvětrávací hlavice kanalizace PVC s manžetou a s protidešťovou stříškou DN cca 125mm</t>
  </si>
  <si>
    <t>7;K;</t>
  </si>
  <si>
    <t>105,48;atika;</t>
  </si>
  <si>
    <t>105,48*0,03;prořez;</t>
  </si>
  <si>
    <t>32,34;atika;</t>
  </si>
  <si>
    <t>32,34;viz montáž;</t>
  </si>
  <si>
    <t>32,34*0,03;prořez;</t>
  </si>
  <si>
    <t>105,48;B2-délka viz nový stav;</t>
  </si>
  <si>
    <t>1;B3-A1;</t>
  </si>
  <si>
    <t>1;1;</t>
  </si>
  <si>
    <t>(36,58+16,16)*2;1/K;</t>
  </si>
  <si>
    <t>105,48;1/K;</t>
  </si>
  <si>
    <t>764430310RT2</t>
  </si>
  <si>
    <t xml:space="preserve">Lemování střešního výlezu z Al plechu, rš 195 mm vč. povrch. úpravy </t>
  </si>
  <si>
    <t>(1,2+0,9)*2;3/K;</t>
  </si>
  <si>
    <t>767</t>
  </si>
  <si>
    <t>Konstrukce doplňkové stavební (zámečnické)</t>
  </si>
  <si>
    <t>767995153VD</t>
  </si>
  <si>
    <t>Žebřík</t>
  </si>
  <si>
    <t>767_</t>
  </si>
  <si>
    <t>767995138VD</t>
  </si>
  <si>
    <t>Demontáž ocel. poklopů včetně ocel. rámů</t>
  </si>
  <si>
    <t>1;B5;</t>
  </si>
  <si>
    <t>899101111R00</t>
  </si>
  <si>
    <t>Osazení poklopu s rámem</t>
  </si>
  <si>
    <t>628111111VD</t>
  </si>
  <si>
    <t>Střešní výlez s požární odolností EW 15 DP3, se zámkem</t>
  </si>
  <si>
    <t>968</t>
  </si>
  <si>
    <t>Bourání</t>
  </si>
  <si>
    <t>968111119VD</t>
  </si>
  <si>
    <t>Demontáž hlavic kanalizace</t>
  </si>
  <si>
    <t>968_</t>
  </si>
  <si>
    <t>7;B4;</t>
  </si>
  <si>
    <t>97</t>
  </si>
  <si>
    <t>Prorážení otvorů a ostatní bourací práce</t>
  </si>
  <si>
    <t>978015271R00</t>
  </si>
  <si>
    <t>Otlučení omítek vnějších do 60 %</t>
  </si>
  <si>
    <t>97_</t>
  </si>
  <si>
    <t>(1,2+0,9)*0,25*2;V;</t>
  </si>
  <si>
    <t>13,00749;viz hmotnost;</t>
  </si>
  <si>
    <t>0,37667;viz hmotnost;</t>
  </si>
  <si>
    <t>0,37667*19;viz hmotnost-odvoz celkem do 20km;</t>
  </si>
  <si>
    <t>Stropy a stropní konstrukce (pro pozemní stavby)</t>
  </si>
  <si>
    <t>417320034RA0</t>
  </si>
  <si>
    <t>Nadbetonávka ŽB beton C 20/25, 20 x 20 cm, bednění, výztuž</t>
  </si>
  <si>
    <t>41_</t>
  </si>
  <si>
    <t>4_</t>
  </si>
  <si>
    <t>(1,2+0,9)*2;V;</t>
  </si>
  <si>
    <t>Omítky ze suchých směsí</t>
  </si>
  <si>
    <t>602015118R00</t>
  </si>
  <si>
    <t>Omítka stěn - střešní výlez</t>
  </si>
  <si>
    <t>60_</t>
  </si>
  <si>
    <t>6_</t>
  </si>
  <si>
    <t>1,05;viz otlučení;</t>
  </si>
  <si>
    <t xml:space="preserve">REKAPITULACE </t>
  </si>
  <si>
    <t xml:space="preserve">Svazek </t>
  </si>
  <si>
    <t>Název</t>
  </si>
  <si>
    <t>Náklady</t>
  </si>
  <si>
    <t>Základní rozpočtové náklady (ZRN)</t>
  </si>
  <si>
    <t>SO 01</t>
  </si>
  <si>
    <t>Pavilon A</t>
  </si>
  <si>
    <t>SO 02</t>
  </si>
  <si>
    <t>Pavilon B</t>
  </si>
  <si>
    <t>Základní rozpočtové náklady (ZRN) celkem</t>
  </si>
  <si>
    <t xml:space="preserve">Celkem ZRN </t>
  </si>
  <si>
    <t>Celkem s DPH</t>
  </si>
  <si>
    <t>B2101 ZŠ JANOV - Stavební úpravy střech pavilonu A a B</t>
  </si>
  <si>
    <t>Poznámka: Vedlejší rozpočtové náklady jsou obsaženy v rozpočtech jednotlivých pavilonů.</t>
  </si>
  <si>
    <t>SO01 - PAVILON A
SO02 - PAVILON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</si>
</sst>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3BBA5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0">
    <xf numFmtId="0" fontId="0" fillId="0" borderId="0" xfId="0"/>
    <xf numFmtId="0" fontId="3" fillId="0" borderId="1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9" xfId="0" applyBorder="1" applyProtection="1">
      <protection/>
    </xf>
    <xf numFmtId="0" fontId="5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0" fontId="0" fillId="0" borderId="3" xfId="0" applyBorder="1" applyProtection="1"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/>
      <protection/>
    </xf>
    <xf numFmtId="4" fontId="4" fillId="0" borderId="5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2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8" fillId="2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4" fontId="11" fillId="0" borderId="2" xfId="0" applyNumberFormat="1" applyFont="1" applyBorder="1" applyAlignment="1" applyProtection="1">
      <alignment horizontal="righ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4" fontId="11" fillId="0" borderId="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4" fontId="11" fillId="0" borderId="19" xfId="0" applyNumberFormat="1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10" fillId="2" borderId="28" xfId="0" applyFont="1" applyFill="1" applyBorder="1" applyAlignment="1" applyProtection="1">
      <alignment horizontal="left" vertical="center"/>
      <protection/>
    </xf>
    <xf numFmtId="0" fontId="10" fillId="2" borderId="24" xfId="0" applyFont="1" applyFill="1" applyBorder="1" applyAlignment="1" applyProtection="1">
      <alignment horizontal="left" vertical="center"/>
      <protection/>
    </xf>
    <xf numFmtId="4" fontId="10" fillId="2" borderId="25" xfId="0" applyNumberFormat="1" applyFont="1" applyFill="1" applyBorder="1" applyAlignment="1" applyProtection="1">
      <alignment horizontal="right"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10" fillId="2" borderId="5" xfId="0" applyFont="1" applyFill="1" applyBorder="1" applyAlignment="1" applyProtection="1">
      <alignment horizontal="left" vertical="center"/>
      <protection/>
    </xf>
    <xf numFmtId="4" fontId="10" fillId="2" borderId="2" xfId="0" applyNumberFormat="1" applyFont="1" applyFill="1" applyBorder="1" applyAlignment="1" applyProtection="1">
      <alignment horizontal="right" vertical="center"/>
      <protection/>
    </xf>
    <xf numFmtId="0" fontId="10" fillId="2" borderId="24" xfId="0" applyFont="1" applyFill="1" applyBorder="1" applyAlignment="1" applyProtection="1">
      <alignment horizontal="left" vertical="center"/>
      <protection/>
    </xf>
    <xf numFmtId="0" fontId="10" fillId="2" borderId="5" xfId="0" applyFont="1" applyFill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0" fillId="0" borderId="0" xfId="20">
      <alignment/>
      <protection/>
    </xf>
    <xf numFmtId="0" fontId="4" fillId="0" borderId="8" xfId="20" applyFont="1" applyBorder="1" applyAlignment="1">
      <alignment horizontal="left" vertical="center" wrapText="1"/>
      <protection/>
    </xf>
    <xf numFmtId="0" fontId="4" fillId="0" borderId="6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6" xfId="20" applyFont="1" applyBorder="1" applyAlignment="1">
      <alignment horizontal="left" vertical="center"/>
      <protection/>
    </xf>
    <xf numFmtId="0" fontId="4" fillId="0" borderId="6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4" fillId="0" borderId="9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5" xfId="20" applyFont="1" applyBorder="1" applyAlignment="1">
      <alignment horizontal="left" vertical="center"/>
      <protection/>
    </xf>
    <xf numFmtId="0" fontId="7" fillId="0" borderId="0" xfId="20" applyFont="1" applyAlignment="1">
      <alignment horizontal="center" vertical="center"/>
      <protection/>
    </xf>
    <xf numFmtId="0" fontId="8" fillId="2" borderId="23" xfId="20" applyFont="1" applyFill="1" applyBorder="1" applyAlignment="1">
      <alignment horizontal="center" vertical="center"/>
      <protection/>
    </xf>
    <xf numFmtId="0" fontId="9" fillId="0" borderId="24" xfId="20" applyFont="1" applyBorder="1" applyAlignment="1">
      <alignment horizontal="left" vertical="center"/>
      <protection/>
    </xf>
    <xf numFmtId="0" fontId="9" fillId="0" borderId="25" xfId="20" applyFont="1" applyBorder="1" applyAlignment="1">
      <alignment horizontal="left" vertical="center"/>
      <protection/>
    </xf>
    <xf numFmtId="0" fontId="8" fillId="2" borderId="25" xfId="20" applyFont="1" applyFill="1" applyBorder="1" applyAlignment="1">
      <alignment horizontal="center" vertical="center"/>
      <protection/>
    </xf>
    <xf numFmtId="0" fontId="10" fillId="0" borderId="26" xfId="20" applyFont="1" applyBorder="1" applyAlignment="1">
      <alignment horizontal="left" vertical="center"/>
      <protection/>
    </xf>
    <xf numFmtId="0" fontId="11" fillId="0" borderId="2" xfId="20" applyFont="1" applyBorder="1" applyAlignment="1">
      <alignment horizontal="left" vertical="center"/>
      <protection/>
    </xf>
    <xf numFmtId="4" fontId="11" fillId="0" borderId="2" xfId="20" applyNumberFormat="1" applyFont="1" applyBorder="1" applyAlignment="1">
      <alignment horizontal="right" vertical="center"/>
      <protection/>
    </xf>
    <xf numFmtId="0" fontId="11" fillId="0" borderId="5" xfId="20" applyFont="1" applyBorder="1" applyAlignment="1">
      <alignment horizontal="left" vertical="center"/>
      <protection/>
    </xf>
    <xf numFmtId="0" fontId="11" fillId="0" borderId="2" xfId="20" applyFont="1" applyBorder="1" applyAlignment="1">
      <alignment horizontal="lef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27" xfId="20" applyFont="1" applyBorder="1" applyAlignment="1">
      <alignment horizontal="left" vertical="center"/>
      <protection/>
    </xf>
    <xf numFmtId="0" fontId="10" fillId="0" borderId="10" xfId="20" applyFont="1" applyBorder="1" applyAlignment="1">
      <alignment horizontal="left" vertical="center"/>
      <protection/>
    </xf>
    <xf numFmtId="0" fontId="10" fillId="0" borderId="2" xfId="20" applyFont="1" applyBorder="1" applyAlignment="1">
      <alignment horizontal="left" vertical="center"/>
      <protection/>
    </xf>
    <xf numFmtId="0" fontId="10" fillId="0" borderId="9" xfId="20" applyFont="1" applyBorder="1" applyAlignment="1">
      <alignment horizontal="left" vertical="center"/>
      <protection/>
    </xf>
    <xf numFmtId="0" fontId="10" fillId="0" borderId="3" xfId="20" applyFont="1" applyBorder="1" applyAlignment="1">
      <alignment horizontal="left" vertical="center"/>
      <protection/>
    </xf>
    <xf numFmtId="4" fontId="11" fillId="0" borderId="3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left" vertical="center"/>
      <protection/>
    </xf>
    <xf numFmtId="0" fontId="11" fillId="0" borderId="3" xfId="20" applyFont="1" applyBorder="1" applyAlignment="1">
      <alignment horizontal="left" vertical="center"/>
      <protection/>
    </xf>
    <xf numFmtId="0" fontId="11" fillId="0" borderId="3" xfId="20" applyFont="1" applyBorder="1" applyAlignment="1">
      <alignment horizontal="right" vertical="center"/>
      <protection/>
    </xf>
    <xf numFmtId="0" fontId="10" fillId="0" borderId="28" xfId="20" applyFont="1" applyBorder="1" applyAlignment="1">
      <alignment horizontal="left" vertical="center"/>
      <protection/>
    </xf>
    <xf numFmtId="0" fontId="10" fillId="0" borderId="25" xfId="20" applyFont="1" applyBorder="1" applyAlignment="1">
      <alignment horizontal="left" vertical="center"/>
      <protection/>
    </xf>
    <xf numFmtId="4" fontId="11" fillId="0" borderId="25" xfId="20" applyNumberFormat="1" applyFont="1" applyBorder="1" applyAlignment="1">
      <alignment horizontal="right" vertical="center"/>
      <protection/>
    </xf>
    <xf numFmtId="0" fontId="10" fillId="0" borderId="24" xfId="20" applyFont="1" applyBorder="1" applyAlignment="1">
      <alignment horizontal="left" vertical="center"/>
      <protection/>
    </xf>
    <xf numFmtId="4" fontId="11" fillId="0" borderId="19" xfId="20" applyNumberFormat="1" applyFont="1" applyBorder="1" applyAlignment="1">
      <alignment horizontal="right" vertical="center"/>
      <protection/>
    </xf>
    <xf numFmtId="0" fontId="10" fillId="0" borderId="5" xfId="20" applyFont="1" applyBorder="1" applyAlignment="1">
      <alignment horizontal="left" vertical="center"/>
      <protection/>
    </xf>
    <xf numFmtId="0" fontId="10" fillId="2" borderId="28" xfId="20" applyFont="1" applyFill="1" applyBorder="1" applyAlignment="1">
      <alignment horizontal="left" vertical="center"/>
      <protection/>
    </xf>
    <xf numFmtId="0" fontId="10" fillId="2" borderId="24" xfId="20" applyFont="1" applyFill="1" applyBorder="1" applyAlignment="1">
      <alignment horizontal="left" vertical="center"/>
      <protection/>
    </xf>
    <xf numFmtId="4" fontId="10" fillId="2" borderId="25" xfId="20" applyNumberFormat="1" applyFont="1" applyFill="1" applyBorder="1" applyAlignment="1">
      <alignment horizontal="right" vertical="center"/>
      <protection/>
    </xf>
    <xf numFmtId="0" fontId="10" fillId="2" borderId="10" xfId="20" applyFont="1" applyFill="1" applyBorder="1" applyAlignment="1">
      <alignment horizontal="left" vertical="center"/>
      <protection/>
    </xf>
    <xf numFmtId="0" fontId="10" fillId="2" borderId="5" xfId="20" applyFont="1" applyFill="1" applyBorder="1" applyAlignment="1">
      <alignment horizontal="left" vertical="center"/>
      <protection/>
    </xf>
    <xf numFmtId="4" fontId="10" fillId="2" borderId="2" xfId="20" applyNumberFormat="1" applyFont="1" applyFill="1" applyBorder="1" applyAlignment="1">
      <alignment horizontal="right" vertical="center"/>
      <protection/>
    </xf>
    <xf numFmtId="0" fontId="11" fillId="0" borderId="29" xfId="20" applyFont="1" applyBorder="1" applyAlignment="1">
      <alignment horizontal="left" vertical="center"/>
      <protection/>
    </xf>
    <xf numFmtId="0" fontId="11" fillId="0" borderId="17" xfId="20" applyFont="1" applyBorder="1" applyAlignment="1">
      <alignment horizontal="left" vertical="center"/>
      <protection/>
    </xf>
    <xf numFmtId="0" fontId="11" fillId="0" borderId="30" xfId="20" applyFont="1" applyBorder="1" applyAlignment="1">
      <alignment horizontal="left" vertical="center"/>
      <protection/>
    </xf>
    <xf numFmtId="0" fontId="11" fillId="0" borderId="31" xfId="20" applyFont="1" applyBorder="1" applyAlignment="1">
      <alignment horizontal="left" vertical="center"/>
      <protection/>
    </xf>
    <xf numFmtId="0" fontId="11" fillId="0" borderId="32" xfId="20" applyFont="1" applyBorder="1" applyAlignment="1">
      <alignment horizontal="left" vertical="center"/>
      <protection/>
    </xf>
    <xf numFmtId="0" fontId="11" fillId="0" borderId="33" xfId="20" applyFont="1" applyBorder="1" applyAlignment="1">
      <alignment horizontal="left" vertical="center"/>
      <protection/>
    </xf>
    <xf numFmtId="0" fontId="11" fillId="0" borderId="20" xfId="20" applyFont="1" applyBorder="1" applyAlignment="1">
      <alignment horizontal="left" vertical="center"/>
      <protection/>
    </xf>
    <xf numFmtId="0" fontId="11" fillId="0" borderId="22" xfId="20" applyFont="1" applyBorder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4" fillId="0" borderId="5" xfId="20" applyFont="1" applyBorder="1" applyAlignment="1">
      <alignment horizontal="left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horizontal="left" vertical="center" wrapText="1"/>
      <protection/>
    </xf>
    <xf numFmtId="0" fontId="2" fillId="0" borderId="0" xfId="20" applyFont="1" applyAlignment="1" applyProtection="1">
      <alignment horizontal="center" vertical="center"/>
      <protection/>
    </xf>
    <xf numFmtId="0" fontId="0" fillId="0" borderId="0" xfId="20" applyProtection="1">
      <alignment/>
      <protection/>
    </xf>
    <xf numFmtId="4" fontId="3" fillId="2" borderId="0" xfId="20" applyNumberFormat="1" applyFont="1" applyFill="1" applyAlignment="1" applyProtection="1">
      <alignment horizontal="right" vertical="center"/>
      <protection/>
    </xf>
    <xf numFmtId="0" fontId="4" fillId="0" borderId="8" xfId="20" applyFont="1" applyBorder="1" applyAlignment="1" applyProtection="1">
      <alignment horizontal="left" vertical="center" wrapText="1"/>
      <protection/>
    </xf>
    <xf numFmtId="0" fontId="4" fillId="0" borderId="6" xfId="20" applyFont="1" applyBorder="1" applyAlignment="1" applyProtection="1">
      <alignment horizontal="left" vertical="center"/>
      <protection/>
    </xf>
    <xf numFmtId="0" fontId="3" fillId="0" borderId="6" xfId="20" applyFont="1" applyBorder="1" applyAlignment="1" applyProtection="1">
      <alignment horizontal="left" vertical="center" wrapText="1"/>
      <protection/>
    </xf>
    <xf numFmtId="0" fontId="3" fillId="0" borderId="6" xfId="20" applyFont="1" applyBorder="1" applyAlignment="1" applyProtection="1">
      <alignment horizontal="left" vertical="center"/>
      <protection/>
    </xf>
    <xf numFmtId="0" fontId="4" fillId="0" borderId="6" xfId="20" applyFont="1" applyBorder="1" applyAlignment="1" applyProtection="1">
      <alignment horizontal="left" vertical="center" wrapText="1"/>
      <protection/>
    </xf>
    <xf numFmtId="0" fontId="4" fillId="0" borderId="7" xfId="20" applyFont="1" applyBorder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 vertical="center"/>
      <protection/>
    </xf>
    <xf numFmtId="0" fontId="3" fillId="0" borderId="0" xfId="20" applyFont="1" applyAlignment="1" applyProtection="1">
      <alignment horizontal="left" vertical="center"/>
      <protection/>
    </xf>
    <xf numFmtId="0" fontId="4" fillId="0" borderId="3" xfId="20" applyFont="1" applyBorder="1" applyAlignment="1" applyProtection="1">
      <alignment horizontal="left" vertical="center"/>
      <protection/>
    </xf>
    <xf numFmtId="0" fontId="4" fillId="0" borderId="9" xfId="20" applyFont="1" applyBorder="1" applyAlignment="1" applyProtection="1">
      <alignment horizontal="left" vertical="center" wrapText="1"/>
      <protection/>
    </xf>
    <xf numFmtId="0" fontId="4" fillId="0" borderId="0" xfId="20" applyFont="1" applyAlignment="1" applyProtection="1">
      <alignment horizontal="left" vertical="center" wrapText="1"/>
      <protection/>
    </xf>
    <xf numFmtId="0" fontId="3" fillId="0" borderId="15" xfId="20" applyFont="1" applyBorder="1" applyAlignment="1" applyProtection="1">
      <alignment horizontal="left" vertical="center"/>
      <protection/>
    </xf>
    <xf numFmtId="0" fontId="3" fillId="0" borderId="16" xfId="20" applyFont="1" applyBorder="1" applyAlignment="1" applyProtection="1">
      <alignment horizontal="left" vertical="center"/>
      <protection/>
    </xf>
    <xf numFmtId="0" fontId="3" fillId="0" borderId="17" xfId="20" applyFont="1" applyBorder="1" applyAlignment="1" applyProtection="1">
      <alignment horizontal="left" vertical="center"/>
      <protection/>
    </xf>
    <xf numFmtId="0" fontId="3" fillId="0" borderId="16" xfId="20" applyFont="1" applyBorder="1" applyAlignment="1" applyProtection="1">
      <alignment horizontal="left" vertical="center"/>
      <protection/>
    </xf>
    <xf numFmtId="0" fontId="3" fillId="0" borderId="16" xfId="20" applyFont="1" applyBorder="1" applyAlignment="1" applyProtection="1">
      <alignment horizontal="center" vertical="center"/>
      <protection/>
    </xf>
    <xf numFmtId="0" fontId="3" fillId="0" borderId="17" xfId="20" applyFont="1" applyBorder="1" applyAlignment="1" applyProtection="1">
      <alignment horizontal="center" vertical="center"/>
      <protection/>
    </xf>
    <xf numFmtId="0" fontId="3" fillId="0" borderId="13" xfId="20" applyFont="1" applyBorder="1" applyAlignment="1" applyProtection="1">
      <alignment horizontal="center" vertical="center"/>
      <protection/>
    </xf>
    <xf numFmtId="0" fontId="3" fillId="0" borderId="14" xfId="20" applyFont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/>
      <protection/>
    </xf>
    <xf numFmtId="0" fontId="3" fillId="2" borderId="0" xfId="20" applyFont="1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right" vertical="center"/>
      <protection/>
    </xf>
    <xf numFmtId="0" fontId="4" fillId="0" borderId="18" xfId="20" applyFont="1" applyBorder="1" applyAlignment="1" applyProtection="1">
      <alignment horizontal="left" vertical="center"/>
      <protection/>
    </xf>
    <xf numFmtId="0" fontId="4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center" vertical="center"/>
      <protection/>
    </xf>
    <xf numFmtId="0" fontId="3" fillId="0" borderId="21" xfId="20" applyFont="1" applyBorder="1" applyAlignment="1" applyProtection="1">
      <alignment horizontal="center" vertical="center"/>
      <protection/>
    </xf>
    <xf numFmtId="0" fontId="3" fillId="0" borderId="19" xfId="20" applyFont="1" applyBorder="1" applyAlignment="1" applyProtection="1">
      <alignment horizontal="center" vertical="center"/>
      <protection/>
    </xf>
    <xf numFmtId="0" fontId="3" fillId="0" borderId="22" xfId="20" applyFont="1" applyBorder="1" applyAlignment="1" applyProtection="1">
      <alignment horizontal="center" vertical="center"/>
      <protection/>
    </xf>
    <xf numFmtId="0" fontId="4" fillId="2" borderId="9" xfId="20" applyFont="1" applyFill="1" applyBorder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horizontal="left" vertical="center" wrapText="1"/>
      <protection/>
    </xf>
    <xf numFmtId="0" fontId="3" fillId="2" borderId="0" xfId="20" applyFont="1" applyFill="1" applyAlignment="1" applyProtection="1">
      <alignment horizontal="left" vertical="center"/>
      <protection/>
    </xf>
    <xf numFmtId="0" fontId="4" fillId="2" borderId="0" xfId="20" applyFont="1" applyFill="1" applyAlignment="1" applyProtection="1">
      <alignment horizontal="left" vertical="center"/>
      <protection/>
    </xf>
    <xf numFmtId="0" fontId="3" fillId="2" borderId="3" xfId="20" applyFont="1" applyFill="1" applyBorder="1" applyAlignment="1" applyProtection="1">
      <alignment horizontal="right" vertical="center"/>
      <protection/>
    </xf>
    <xf numFmtId="0" fontId="4" fillId="0" borderId="9" xfId="20" applyFont="1" applyBorder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 vertical="center"/>
      <protection/>
    </xf>
    <xf numFmtId="4" fontId="4" fillId="0" borderId="0" xfId="20" applyNumberFormat="1" applyFont="1" applyAlignment="1" applyProtection="1">
      <alignment horizontal="right" vertical="center"/>
      <protection/>
    </xf>
    <xf numFmtId="0" fontId="4" fillId="0" borderId="3" xfId="20" applyFont="1" applyBorder="1" applyAlignment="1" applyProtection="1">
      <alignment horizontal="right" vertical="center"/>
      <protection/>
    </xf>
    <xf numFmtId="0" fontId="4" fillId="0" borderId="0" xfId="20" applyFont="1" applyAlignment="1" applyProtection="1">
      <alignment horizontal="right" vertical="center"/>
      <protection/>
    </xf>
    <xf numFmtId="0" fontId="4" fillId="0" borderId="0" xfId="20" applyFont="1" applyAlignment="1" applyProtection="1">
      <alignment horizontal="left" vertical="center" wrapText="1"/>
      <protection/>
    </xf>
    <xf numFmtId="0" fontId="0" fillId="0" borderId="9" xfId="20" applyBorder="1" applyProtection="1">
      <alignment/>
      <protection/>
    </xf>
    <xf numFmtId="0" fontId="5" fillId="0" borderId="0" xfId="20" applyFont="1" applyAlignment="1" applyProtection="1">
      <alignment horizontal="left" vertical="center"/>
      <protection/>
    </xf>
    <xf numFmtId="4" fontId="5" fillId="0" borderId="0" xfId="20" applyNumberFormat="1" applyFont="1" applyAlignment="1" applyProtection="1">
      <alignment horizontal="right" vertical="center"/>
      <protection/>
    </xf>
    <xf numFmtId="0" fontId="0" fillId="0" borderId="3" xfId="20" applyBorder="1" applyProtection="1">
      <alignment/>
      <protection/>
    </xf>
    <xf numFmtId="0" fontId="4" fillId="0" borderId="0" xfId="20" applyFont="1" applyFill="1" applyAlignment="1" applyProtection="1">
      <alignment horizontal="left" vertical="center"/>
      <protection/>
    </xf>
    <xf numFmtId="0" fontId="0" fillId="0" borderId="0" xfId="20" applyFill="1" applyProtection="1">
      <alignment/>
      <protection/>
    </xf>
    <xf numFmtId="0" fontId="4" fillId="0" borderId="10" xfId="20" applyFont="1" applyBorder="1" applyAlignment="1" applyProtection="1">
      <alignment horizontal="left" vertical="center"/>
      <protection/>
    </xf>
    <xf numFmtId="0" fontId="4" fillId="0" borderId="5" xfId="20" applyFont="1" applyBorder="1" applyAlignment="1" applyProtection="1">
      <alignment horizontal="left" vertical="center"/>
      <protection/>
    </xf>
    <xf numFmtId="0" fontId="4" fillId="0" borderId="5" xfId="20" applyFont="1" applyBorder="1" applyAlignment="1" applyProtection="1">
      <alignment horizontal="left" vertical="center" wrapText="1"/>
      <protection/>
    </xf>
    <xf numFmtId="0" fontId="4" fillId="0" borderId="5" xfId="20" applyFont="1" applyBorder="1" applyAlignment="1" applyProtection="1">
      <alignment horizontal="left" vertical="center"/>
      <protection/>
    </xf>
    <xf numFmtId="4" fontId="4" fillId="0" borderId="5" xfId="20" applyNumberFormat="1" applyFont="1" applyBorder="1" applyAlignment="1" applyProtection="1">
      <alignment horizontal="right" vertical="center"/>
      <protection/>
    </xf>
    <xf numFmtId="0" fontId="4" fillId="0" borderId="2" xfId="20" applyFont="1" applyBorder="1" applyAlignment="1" applyProtection="1">
      <alignment horizontal="right" vertical="center"/>
      <protection/>
    </xf>
    <xf numFmtId="4" fontId="3" fillId="0" borderId="0" xfId="20" applyNumberFormat="1" applyFont="1" applyAlignment="1" applyProtection="1">
      <alignment horizontal="right" vertical="center"/>
      <protection/>
    </xf>
    <xf numFmtId="4" fontId="4" fillId="3" borderId="0" xfId="20" applyNumberFormat="1" applyFont="1" applyFill="1" applyAlignment="1" applyProtection="1">
      <alignment horizontal="right" vertical="center"/>
      <protection locked="0"/>
    </xf>
    <xf numFmtId="4" fontId="4" fillId="3" borderId="5" xfId="20" applyNumberFormat="1" applyFont="1" applyFill="1" applyBorder="1" applyAlignment="1" applyProtection="1">
      <alignment horizontal="right" vertical="center"/>
      <protection locked="0"/>
    </xf>
    <xf numFmtId="0" fontId="4" fillId="3" borderId="0" xfId="20" applyFont="1" applyFill="1" applyAlignment="1" applyProtection="1">
      <alignment horizontal="left" vertical="center"/>
      <protection locked="0"/>
    </xf>
    <xf numFmtId="0" fontId="4" fillId="3" borderId="3" xfId="20" applyFont="1" applyFill="1" applyBorder="1" applyAlignment="1" applyProtection="1">
      <alignment horizontal="left" vertical="center"/>
      <protection locked="0"/>
    </xf>
    <xf numFmtId="4" fontId="4" fillId="3" borderId="0" xfId="0" applyNumberFormat="1" applyFont="1" applyFill="1" applyAlignment="1" applyProtection="1">
      <alignment horizontal="right" vertical="center"/>
      <protection locked="0"/>
    </xf>
    <xf numFmtId="4" fontId="4" fillId="3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/>
      <protection/>
    </xf>
    <xf numFmtId="1" fontId="4" fillId="0" borderId="3" xfId="0" applyNumberFormat="1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1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/>
      <protection/>
    </xf>
    <xf numFmtId="0" fontId="4" fillId="0" borderId="6" xfId="20" applyFont="1" applyBorder="1" applyAlignment="1">
      <alignment horizontal="left" vertical="center" wrapText="1"/>
      <protection/>
    </xf>
    <xf numFmtId="0" fontId="4" fillId="0" borderId="7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0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6" xfId="20" applyFont="1" applyBorder="1" applyAlignment="1" applyProtection="1">
      <alignment horizontal="left" vertical="center"/>
      <protection/>
    </xf>
    <xf numFmtId="0" fontId="4" fillId="0" borderId="6" xfId="20" applyFont="1" applyBorder="1" applyAlignment="1" applyProtection="1">
      <alignment horizontal="left" vertical="center" wrapText="1"/>
      <protection/>
    </xf>
    <xf numFmtId="0" fontId="12" fillId="0" borderId="0" xfId="21" applyFont="1" applyProtection="1">
      <alignment/>
      <protection/>
    </xf>
    <xf numFmtId="0" fontId="13" fillId="0" borderId="0" xfId="21" applyFont="1" applyProtection="1">
      <alignment/>
      <protection/>
    </xf>
    <xf numFmtId="0" fontId="1" fillId="0" borderId="0" xfId="21" applyProtection="1">
      <alignment/>
      <protection/>
    </xf>
    <xf numFmtId="0" fontId="14" fillId="0" borderId="34" xfId="21" applyFont="1" applyBorder="1" applyAlignment="1" applyProtection="1">
      <alignment horizontal="center" vertical="center"/>
      <protection/>
    </xf>
    <xf numFmtId="0" fontId="14" fillId="0" borderId="0" xfId="21" applyFont="1" applyBorder="1" applyAlignment="1" applyProtection="1">
      <alignment horizontal="center" vertical="center"/>
      <protection/>
    </xf>
    <xf numFmtId="0" fontId="17" fillId="0" borderId="0" xfId="21" applyFont="1" applyProtection="1">
      <alignment/>
      <protection/>
    </xf>
    <xf numFmtId="0" fontId="1" fillId="0" borderId="0" xfId="21" applyFont="1" applyProtection="1">
      <alignment/>
      <protection/>
    </xf>
    <xf numFmtId="0" fontId="1" fillId="0" borderId="6" xfId="21" applyFont="1" applyBorder="1" applyAlignment="1" applyProtection="1">
      <alignment horizontal="left" vertical="center"/>
      <protection/>
    </xf>
    <xf numFmtId="0" fontId="1" fillId="0" borderId="7" xfId="21" applyFont="1" applyBorder="1" applyAlignment="1" applyProtection="1">
      <alignment horizontal="left" vertical="center"/>
      <protection/>
    </xf>
    <xf numFmtId="0" fontId="1" fillId="0" borderId="0" xfId="21" applyFont="1" applyBorder="1" applyAlignment="1" applyProtection="1">
      <alignment horizontal="left" vertical="center"/>
      <protection/>
    </xf>
    <xf numFmtId="0" fontId="1" fillId="0" borderId="3" xfId="21" applyFont="1" applyBorder="1" applyAlignment="1" applyProtection="1">
      <alignment horizontal="left" vertical="center"/>
      <protection/>
    </xf>
    <xf numFmtId="1" fontId="1" fillId="0" borderId="3" xfId="21" applyNumberFormat="1" applyFont="1" applyBorder="1" applyAlignment="1" applyProtection="1">
      <alignment horizontal="left" vertical="center"/>
      <protection/>
    </xf>
    <xf numFmtId="0" fontId="1" fillId="0" borderId="5" xfId="21" applyFont="1" applyBorder="1" applyAlignment="1" applyProtection="1">
      <alignment horizontal="left" vertical="center"/>
      <protection/>
    </xf>
    <xf numFmtId="14" fontId="1" fillId="0" borderId="2" xfId="21" applyNumberFormat="1" applyFont="1" applyBorder="1" applyAlignment="1" applyProtection="1">
      <alignment horizontal="left" vertical="center"/>
      <protection/>
    </xf>
    <xf numFmtId="0" fontId="14" fillId="0" borderId="0" xfId="21" applyFont="1" applyProtection="1">
      <alignment/>
      <protection/>
    </xf>
    <xf numFmtId="0" fontId="15" fillId="0" borderId="0" xfId="21" applyFont="1" applyProtection="1">
      <alignment/>
      <protection/>
    </xf>
    <xf numFmtId="0" fontId="16" fillId="0" borderId="0" xfId="21" applyFont="1" applyProtection="1">
      <alignment/>
      <protection/>
    </xf>
    <xf numFmtId="0" fontId="17" fillId="3" borderId="35" xfId="21" applyFont="1" applyFill="1" applyBorder="1" applyAlignment="1" applyProtection="1">
      <alignment vertical="center"/>
      <protection/>
    </xf>
    <xf numFmtId="0" fontId="17" fillId="3" borderId="36" xfId="21" applyFont="1" applyFill="1" applyBorder="1" applyAlignment="1" applyProtection="1">
      <alignment horizontal="center" vertical="center"/>
      <protection/>
    </xf>
    <xf numFmtId="0" fontId="17" fillId="3" borderId="37" xfId="21" applyFont="1" applyFill="1" applyBorder="1" applyAlignment="1" applyProtection="1">
      <alignment horizontal="center" vertical="center"/>
      <protection/>
    </xf>
    <xf numFmtId="0" fontId="18" fillId="4" borderId="38" xfId="21" applyFont="1" applyFill="1" applyBorder="1" applyProtection="1">
      <alignment/>
      <protection/>
    </xf>
    <xf numFmtId="0" fontId="18" fillId="4" borderId="39" xfId="21" applyFont="1" applyFill="1" applyBorder="1" applyProtection="1">
      <alignment/>
      <protection/>
    </xf>
    <xf numFmtId="4" fontId="18" fillId="4" borderId="40" xfId="21" applyNumberFormat="1" applyFont="1" applyFill="1" applyBorder="1" applyProtection="1">
      <alignment/>
      <protection/>
    </xf>
    <xf numFmtId="0" fontId="18" fillId="0" borderId="41" xfId="21" applyFont="1" applyBorder="1" applyAlignment="1" applyProtection="1">
      <alignment horizontal="left" vertical="center"/>
      <protection/>
    </xf>
    <xf numFmtId="0" fontId="18" fillId="0" borderId="42" xfId="21" applyFont="1" applyBorder="1" applyAlignment="1" applyProtection="1">
      <alignment horizontal="left" vertical="center"/>
      <protection/>
    </xf>
    <xf numFmtId="4" fontId="18" fillId="0" borderId="43" xfId="21" applyNumberFormat="1" applyFont="1" applyBorder="1" applyAlignment="1" applyProtection="1">
      <alignment horizontal="right" vertical="center"/>
      <protection/>
    </xf>
    <xf numFmtId="0" fontId="18" fillId="0" borderId="44" xfId="21" applyFont="1" applyBorder="1" applyAlignment="1" applyProtection="1">
      <alignment horizontal="left" vertical="center"/>
      <protection/>
    </xf>
    <xf numFmtId="0" fontId="19" fillId="4" borderId="38" xfId="21" applyFont="1" applyFill="1" applyBorder="1" applyAlignment="1" applyProtection="1">
      <alignment horizontal="left" vertical="center"/>
      <protection/>
    </xf>
    <xf numFmtId="0" fontId="19" fillId="4" borderId="39" xfId="21" applyFont="1" applyFill="1" applyBorder="1" applyAlignment="1" applyProtection="1">
      <alignment horizontal="left" vertical="center"/>
      <protection/>
    </xf>
    <xf numFmtId="4" fontId="19" fillId="4" borderId="43" xfId="21" applyNumberFormat="1" applyFont="1" applyFill="1" applyBorder="1" applyAlignment="1" applyProtection="1">
      <alignment horizontal="right" vertical="center"/>
      <protection/>
    </xf>
    <xf numFmtId="0" fontId="17" fillId="3" borderId="45" xfId="21" applyFont="1" applyFill="1" applyBorder="1" applyAlignment="1" applyProtection="1">
      <alignment horizontal="left" vertical="center"/>
      <protection/>
    </xf>
    <xf numFmtId="0" fontId="19" fillId="3" borderId="46" xfId="21" applyFont="1" applyFill="1" applyBorder="1" applyAlignment="1" applyProtection="1">
      <alignment horizontal="left" vertical="center"/>
      <protection/>
    </xf>
    <xf numFmtId="4" fontId="19" fillId="3" borderId="47" xfId="21" applyNumberFormat="1" applyFont="1" applyFill="1" applyBorder="1" applyAlignment="1" applyProtection="1">
      <alignment horizontal="right" vertical="center"/>
      <protection/>
    </xf>
    <xf numFmtId="0" fontId="12" fillId="5" borderId="48" xfId="21" applyFont="1" applyFill="1" applyBorder="1" applyAlignment="1" applyProtection="1">
      <alignment horizontal="left" vertical="center"/>
      <protection/>
    </xf>
    <xf numFmtId="0" fontId="19" fillId="5" borderId="49" xfId="21" applyFont="1" applyFill="1" applyBorder="1" applyAlignment="1" applyProtection="1">
      <alignment horizontal="left" vertical="center"/>
      <protection/>
    </xf>
    <xf numFmtId="4" fontId="19" fillId="5" borderId="50" xfId="21" applyNumberFormat="1" applyFont="1" applyFill="1" applyBorder="1" applyAlignment="1" applyProtection="1">
      <alignment horizontal="right" vertical="center"/>
      <protection/>
    </xf>
    <xf numFmtId="0" fontId="20" fillId="0" borderId="0" xfId="21" applyFont="1" applyProtection="1">
      <alignment/>
      <protection/>
    </xf>
    <xf numFmtId="49" fontId="1" fillId="3" borderId="0" xfId="21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101%20Z&#352;%20JANOV%20&#8211;%20Stavebn&#237;%20&#250;pravy%20st&#345;ech%20(pavilon%20A,%20B,%20E,%20D)\2.%20P&#344;&#205;PRAVA\2.3.%20PD\2.3.3.%20N&#193;KLADOV&#193;%20&#268;&#193;ST\2024\strechy%20janov%20uprava%20rozp%20A_B_D_E\pavilon%20B\v&#253;kaz%20v&#253;m&#283;r%20SO02-Pavilon%20B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 SO02"/>
      <sheetName val="Stavební rozpočet SO02"/>
      <sheetName val="VORN"/>
    </sheetNames>
    <sheetDataSet>
      <sheetData sheetId="0" refreshError="1"/>
      <sheetData sheetId="1"/>
      <sheetData sheetId="2">
        <row r="36"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C144-5A53-449D-8DB2-46D87BE3F01A}">
  <dimension ref="A1:J23"/>
  <sheetViews>
    <sheetView tabSelected="1" workbookViewId="0" topLeftCell="A1">
      <selection activeCell="A2" sqref="A2:F2"/>
    </sheetView>
  </sheetViews>
  <sheetFormatPr defaultColWidth="9.140625" defaultRowHeight="15"/>
  <cols>
    <col min="1" max="1" width="17.28125" style="314" customWidth="1"/>
    <col min="2" max="2" width="49.8515625" style="314" bestFit="1" customWidth="1"/>
    <col min="3" max="3" width="16.7109375" style="314" customWidth="1"/>
    <col min="4" max="4" width="24.00390625" style="314" bestFit="1" customWidth="1"/>
    <col min="5" max="5" width="9.140625" style="314" customWidth="1"/>
    <col min="6" max="6" width="17.7109375" style="314" customWidth="1"/>
    <col min="7" max="16384" width="9.140625" style="314" customWidth="1"/>
  </cols>
  <sheetData>
    <row r="1" spans="1:10" ht="15">
      <c r="A1" s="312"/>
      <c r="B1" s="312"/>
      <c r="C1" s="312"/>
      <c r="D1" s="313"/>
      <c r="E1" s="313"/>
      <c r="F1" s="313"/>
      <c r="G1" s="313"/>
      <c r="H1" s="313"/>
      <c r="I1" s="313"/>
      <c r="J1" s="313"/>
    </row>
    <row r="2" spans="1:10" ht="23.25">
      <c r="A2" s="315" t="s">
        <v>441</v>
      </c>
      <c r="B2" s="316"/>
      <c r="C2" s="316"/>
      <c r="D2" s="316"/>
      <c r="E2" s="316"/>
      <c r="F2" s="316"/>
      <c r="G2" s="313"/>
      <c r="H2" s="313"/>
      <c r="I2" s="313"/>
      <c r="J2" s="313"/>
    </row>
    <row r="3" spans="1:10" s="318" customFormat="1" ht="15">
      <c r="A3" s="317"/>
      <c r="E3" s="313"/>
      <c r="F3" s="313"/>
      <c r="G3" s="313"/>
      <c r="H3" s="313"/>
      <c r="I3" s="313"/>
      <c r="J3" s="313"/>
    </row>
    <row r="4" spans="1:6" s="318" customFormat="1" ht="35.1" customHeight="1">
      <c r="A4" s="283" t="s">
        <v>1</v>
      </c>
      <c r="B4" s="285" t="s">
        <v>453</v>
      </c>
      <c r="C4" s="319" t="s">
        <v>4</v>
      </c>
      <c r="D4" s="319" t="s">
        <v>5</v>
      </c>
      <c r="E4" s="319" t="s">
        <v>302</v>
      </c>
      <c r="F4" s="320" t="s">
        <v>49</v>
      </c>
    </row>
    <row r="5" spans="1:6" s="318" customFormat="1" ht="35.1" customHeight="1">
      <c r="A5" s="292" t="s">
        <v>6</v>
      </c>
      <c r="B5" s="294" t="s">
        <v>455</v>
      </c>
      <c r="C5" s="321" t="s">
        <v>9</v>
      </c>
      <c r="D5" s="321" t="s">
        <v>10</v>
      </c>
      <c r="E5" s="321" t="s">
        <v>302</v>
      </c>
      <c r="F5" s="322" t="s">
        <v>49</v>
      </c>
    </row>
    <row r="6" spans="1:6" s="318" customFormat="1" ht="35.1" customHeight="1">
      <c r="A6" s="292" t="s">
        <v>11</v>
      </c>
      <c r="B6" s="288" t="s">
        <v>12</v>
      </c>
      <c r="C6" s="321" t="s">
        <v>14</v>
      </c>
      <c r="D6" s="349"/>
      <c r="E6" s="321" t="s">
        <v>302</v>
      </c>
      <c r="F6" s="322" t="s">
        <v>49</v>
      </c>
    </row>
    <row r="7" spans="1:6" s="318" customFormat="1" ht="35.1" customHeight="1">
      <c r="A7" s="292" t="s">
        <v>8</v>
      </c>
      <c r="B7" s="288" t="s">
        <v>3</v>
      </c>
      <c r="C7" s="321" t="s">
        <v>13</v>
      </c>
      <c r="D7" s="321" t="s">
        <v>3</v>
      </c>
      <c r="E7" s="321" t="s">
        <v>303</v>
      </c>
      <c r="F7" s="323">
        <f>'Krycí list rozpočtu SO01'!I5+'Krycí list rozpočtu SO02'!I5</f>
        <v>132</v>
      </c>
    </row>
    <row r="8" spans="1:6" s="318" customFormat="1" ht="35.1" customHeight="1">
      <c r="A8" s="293" t="s">
        <v>15</v>
      </c>
      <c r="B8" s="106" t="s">
        <v>3</v>
      </c>
      <c r="C8" s="324" t="s">
        <v>18</v>
      </c>
      <c r="D8" s="324"/>
      <c r="E8" s="324" t="s">
        <v>304</v>
      </c>
      <c r="F8" s="325">
        <f ca="1">TODAY()</f>
        <v>45392</v>
      </c>
    </row>
    <row r="9" spans="1:10" s="318" customFormat="1" ht="15" customHeight="1">
      <c r="A9" s="317"/>
      <c r="E9" s="313"/>
      <c r="F9" s="313"/>
      <c r="G9" s="313"/>
      <c r="H9" s="313"/>
      <c r="I9" s="313"/>
      <c r="J9" s="313"/>
    </row>
    <row r="10" spans="1:10" ht="23.25">
      <c r="A10" s="326"/>
      <c r="B10" s="318"/>
      <c r="C10" s="318"/>
      <c r="D10" s="318"/>
      <c r="E10" s="313"/>
      <c r="F10" s="313"/>
      <c r="G10" s="313"/>
      <c r="H10" s="313"/>
      <c r="I10" s="313"/>
      <c r="J10" s="313"/>
    </row>
    <row r="11" spans="2:10" ht="15" customHeight="1">
      <c r="B11" s="318"/>
      <c r="C11" s="318"/>
      <c r="D11" s="318"/>
      <c r="E11" s="313"/>
      <c r="F11" s="313"/>
      <c r="G11" s="313"/>
      <c r="H11" s="313"/>
      <c r="I11" s="313"/>
      <c r="J11" s="313"/>
    </row>
    <row r="12" spans="1:10" ht="15" customHeight="1">
      <c r="A12" s="327" t="s">
        <v>453</v>
      </c>
      <c r="B12" s="318"/>
      <c r="C12" s="318"/>
      <c r="D12" s="318"/>
      <c r="E12" s="313"/>
      <c r="F12" s="313"/>
      <c r="G12" s="313"/>
      <c r="H12" s="313"/>
      <c r="I12" s="313"/>
      <c r="J12" s="313"/>
    </row>
    <row r="13" spans="1:10" ht="15" customHeight="1" thickBot="1">
      <c r="A13" s="328"/>
      <c r="B13" s="318"/>
      <c r="C13" s="318"/>
      <c r="D13" s="318"/>
      <c r="E13" s="313"/>
      <c r="F13" s="313"/>
      <c r="G13" s="313"/>
      <c r="H13" s="313"/>
      <c r="I13" s="313"/>
      <c r="J13" s="313"/>
    </row>
    <row r="14" spans="1:4" ht="30" customHeight="1">
      <c r="A14" s="329" t="s">
        <v>442</v>
      </c>
      <c r="B14" s="330" t="s">
        <v>443</v>
      </c>
      <c r="C14" s="331" t="s">
        <v>444</v>
      </c>
      <c r="D14" s="317"/>
    </row>
    <row r="15" spans="1:4" ht="20.1" customHeight="1">
      <c r="A15" s="332" t="s">
        <v>445</v>
      </c>
      <c r="B15" s="333"/>
      <c r="C15" s="334"/>
      <c r="D15" s="317"/>
    </row>
    <row r="16" spans="1:4" ht="20.1" customHeight="1">
      <c r="A16" s="335" t="s">
        <v>446</v>
      </c>
      <c r="B16" s="336" t="s">
        <v>447</v>
      </c>
      <c r="C16" s="337">
        <f>'Krycí list rozpočtu SO01'!I23</f>
        <v>0</v>
      </c>
      <c r="D16" s="317"/>
    </row>
    <row r="17" spans="1:4" ht="20.1" customHeight="1">
      <c r="A17" s="335" t="s">
        <v>448</v>
      </c>
      <c r="B17" s="338" t="s">
        <v>449</v>
      </c>
      <c r="C17" s="337">
        <f>'Krycí list rozpočtu SO02'!I23</f>
        <v>0</v>
      </c>
      <c r="D17" s="317"/>
    </row>
    <row r="18" spans="1:4" ht="20.1" customHeight="1">
      <c r="A18" s="339" t="s">
        <v>450</v>
      </c>
      <c r="B18" s="340"/>
      <c r="C18" s="341">
        <f>SUM(C16:C17)</f>
        <v>0</v>
      </c>
      <c r="D18" s="317"/>
    </row>
    <row r="19" spans="1:4" ht="20.1" customHeight="1">
      <c r="A19" s="342"/>
      <c r="B19" s="343" t="s">
        <v>451</v>
      </c>
      <c r="C19" s="344">
        <f>C18</f>
        <v>0</v>
      </c>
      <c r="D19" s="317"/>
    </row>
    <row r="20" spans="1:4" ht="20.1" customHeight="1">
      <c r="A20" s="342"/>
      <c r="B20" s="343" t="s">
        <v>337</v>
      </c>
      <c r="C20" s="344">
        <f>SUM(C19*0.21)</f>
        <v>0</v>
      </c>
      <c r="D20" s="317"/>
    </row>
    <row r="21" spans="1:4" ht="20.1" customHeight="1" thickBot="1">
      <c r="A21" s="345"/>
      <c r="B21" s="346" t="s">
        <v>452</v>
      </c>
      <c r="C21" s="347">
        <f>SUM(C19*1.21)</f>
        <v>0</v>
      </c>
      <c r="D21" s="313"/>
    </row>
    <row r="22" ht="13.5">
      <c r="B22" s="312"/>
    </row>
    <row r="23" ht="15.75">
      <c r="A23" s="348" t="s">
        <v>454</v>
      </c>
    </row>
  </sheetData>
  <sheetProtection algorithmName="SHA-512" hashValue="+0D4Okit4S6OhECpNQLDQwF8xiUDNUopSLeq7z63y5SZdz1F7Kan3qGrWVY33QNdtff9BjEp+ytcp2uDef7Mvw==" saltValue="lN+SUAjylquwUV+VeHkxoA==" spinCount="100000" sheet="1"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zoomScale="90" zoomScaleNormal="90" workbookViewId="0" topLeftCell="A1">
      <selection activeCell="A1" sqref="A1:I1"/>
    </sheetView>
  </sheetViews>
  <sheetFormatPr defaultColWidth="12.140625" defaultRowHeight="15" customHeight="1"/>
  <cols>
    <col min="1" max="1" width="9.140625" style="48" customWidth="1"/>
    <col min="2" max="2" width="12.8515625" style="48" customWidth="1"/>
    <col min="3" max="3" width="27.140625" style="48" customWidth="1"/>
    <col min="4" max="4" width="10.00390625" style="48" customWidth="1"/>
    <col min="5" max="5" width="14.00390625" style="48" customWidth="1"/>
    <col min="6" max="6" width="27.140625" style="48" customWidth="1"/>
    <col min="7" max="7" width="9.140625" style="48" customWidth="1"/>
    <col min="8" max="8" width="12.8515625" style="48" customWidth="1"/>
    <col min="9" max="9" width="27.140625" style="48" customWidth="1"/>
    <col min="10" max="16384" width="12.140625" style="48" customWidth="1"/>
  </cols>
  <sheetData>
    <row r="1" spans="1:9" ht="54.75" customHeight="1">
      <c r="A1" s="115" t="s">
        <v>301</v>
      </c>
      <c r="B1" s="47"/>
      <c r="C1" s="47"/>
      <c r="D1" s="47"/>
      <c r="E1" s="47"/>
      <c r="F1" s="47"/>
      <c r="G1" s="47"/>
      <c r="H1" s="47"/>
      <c r="I1" s="47"/>
    </row>
    <row r="2" spans="1:9" ht="35.1" customHeight="1">
      <c r="A2" s="50" t="s">
        <v>1</v>
      </c>
      <c r="B2" s="51"/>
      <c r="C2" s="52" t="str">
        <f>'Stavební rozpočet SO01'!C2</f>
        <v>B2101 ZŠ JANOV - Stavební úpravy střech pavilonu A a B</v>
      </c>
      <c r="D2" s="53"/>
      <c r="E2" s="286" t="s">
        <v>4</v>
      </c>
      <c r="F2" s="54" t="str">
        <f>'Stavební rozpočet SO01'!I2</f>
        <v>Město Litvínov</v>
      </c>
      <c r="G2" s="51"/>
      <c r="H2" s="286" t="s">
        <v>302</v>
      </c>
      <c r="I2" s="287" t="s">
        <v>49</v>
      </c>
    </row>
    <row r="3" spans="1:9" ht="35.1" customHeight="1">
      <c r="A3" s="289" t="s">
        <v>6</v>
      </c>
      <c r="B3" s="290"/>
      <c r="C3" s="295" t="str">
        <f>'Stavební rozpočet SO01'!C3</f>
        <v>SO 01- PAVILON A, pozemek p.č. 344/1 k.ú. Janov u Litvínova</v>
      </c>
      <c r="D3" s="290"/>
      <c r="E3" s="294" t="s">
        <v>9</v>
      </c>
      <c r="F3" s="295" t="str">
        <f>'Stavební rozpočet SO01'!I3</f>
        <v>SDP LITVÍNOV, spol. s r.o.</v>
      </c>
      <c r="G3" s="290"/>
      <c r="H3" s="294" t="s">
        <v>302</v>
      </c>
      <c r="I3" s="296" t="s">
        <v>49</v>
      </c>
    </row>
    <row r="4" spans="1:9" ht="35.1" customHeight="1">
      <c r="A4" s="289" t="s">
        <v>11</v>
      </c>
      <c r="B4" s="290"/>
      <c r="C4" s="295" t="str">
        <f>'Stavební rozpočet SO01'!C4</f>
        <v>pozemek  p.č. 344/1, v k.ú. Janov u Litvínova</v>
      </c>
      <c r="D4" s="290"/>
      <c r="E4" s="294" t="s">
        <v>14</v>
      </c>
      <c r="F4" s="295">
        <f>'Stavební rozpočet SO01'!I4</f>
        <v>0</v>
      </c>
      <c r="G4" s="290"/>
      <c r="H4" s="294" t="s">
        <v>302</v>
      </c>
      <c r="I4" s="296" t="s">
        <v>49</v>
      </c>
    </row>
    <row r="5" spans="1:9" ht="35.1" customHeight="1">
      <c r="A5" s="289" t="s">
        <v>8</v>
      </c>
      <c r="B5" s="290"/>
      <c r="C5" s="295" t="str">
        <f>'Stavební rozpočet SO01'!G3</f>
        <v xml:space="preserve"> </v>
      </c>
      <c r="D5" s="290"/>
      <c r="E5" s="294" t="s">
        <v>13</v>
      </c>
      <c r="F5" s="295" t="str">
        <f>'Stavební rozpočet SO01'!G4</f>
        <v xml:space="preserve"> </v>
      </c>
      <c r="G5" s="290"/>
      <c r="H5" s="288" t="s">
        <v>303</v>
      </c>
      <c r="I5" s="297">
        <v>64</v>
      </c>
    </row>
    <row r="6" spans="1:9" ht="35.1" customHeight="1">
      <c r="A6" s="291" t="s">
        <v>15</v>
      </c>
      <c r="B6" s="108"/>
      <c r="C6" s="107" t="str">
        <f>'Stavební rozpočet SO01'!C5</f>
        <v xml:space="preserve"> </v>
      </c>
      <c r="D6" s="108"/>
      <c r="E6" s="298" t="s">
        <v>18</v>
      </c>
      <c r="F6" s="107" t="str">
        <f>'Stavební rozpočet SO01'!I5</f>
        <v>Kamila Možná</v>
      </c>
      <c r="G6" s="108"/>
      <c r="H6" s="106" t="s">
        <v>304</v>
      </c>
      <c r="I6" s="299" t="str">
        <f>'Stavební rozpočet SO01'!G5</f>
        <v>09.04.2024</v>
      </c>
    </row>
    <row r="7" spans="1:9" ht="23.25">
      <c r="A7" s="116" t="s">
        <v>305</v>
      </c>
      <c r="B7" s="116"/>
      <c r="C7" s="116"/>
      <c r="D7" s="116"/>
      <c r="E7" s="116"/>
      <c r="F7" s="116"/>
      <c r="G7" s="116"/>
      <c r="H7" s="116"/>
      <c r="I7" s="116"/>
    </row>
    <row r="8" spans="1:9" ht="26.25" customHeight="1">
      <c r="A8" s="117" t="s">
        <v>306</v>
      </c>
      <c r="B8" s="118" t="s">
        <v>307</v>
      </c>
      <c r="C8" s="119"/>
      <c r="D8" s="120" t="s">
        <v>308</v>
      </c>
      <c r="E8" s="118" t="s">
        <v>309</v>
      </c>
      <c r="F8" s="119"/>
      <c r="G8" s="120" t="s">
        <v>310</v>
      </c>
      <c r="H8" s="118" t="s">
        <v>311</v>
      </c>
      <c r="I8" s="119"/>
    </row>
    <row r="9" spans="1:9" ht="15.75">
      <c r="A9" s="121" t="s">
        <v>312</v>
      </c>
      <c r="B9" s="122" t="s">
        <v>313</v>
      </c>
      <c r="C9" s="123">
        <f>SUM('Stavební rozpočet SO01'!AB8:AB168)</f>
        <v>0</v>
      </c>
      <c r="D9" s="124" t="s">
        <v>314</v>
      </c>
      <c r="E9" s="125"/>
      <c r="F9" s="123">
        <f>VORN!I15</f>
        <v>0</v>
      </c>
      <c r="G9" s="124" t="s">
        <v>294</v>
      </c>
      <c r="H9" s="125"/>
      <c r="I9" s="126">
        <f>VORN!I21</f>
        <v>0</v>
      </c>
    </row>
    <row r="10" spans="1:9" ht="15.75">
      <c r="A10" s="127" t="s">
        <v>49</v>
      </c>
      <c r="B10" s="122" t="s">
        <v>34</v>
      </c>
      <c r="C10" s="123">
        <f>SUM('Stavební rozpočet SO01'!AC8:AC168)</f>
        <v>0</v>
      </c>
      <c r="D10" s="124" t="s">
        <v>315</v>
      </c>
      <c r="E10" s="125"/>
      <c r="F10" s="123">
        <f>VORN!I16</f>
        <v>0</v>
      </c>
      <c r="G10" s="124" t="s">
        <v>316</v>
      </c>
      <c r="H10" s="125"/>
      <c r="I10" s="126">
        <f>VORN!I22</f>
        <v>0</v>
      </c>
    </row>
    <row r="11" spans="1:9" ht="15.75">
      <c r="A11" s="121" t="s">
        <v>317</v>
      </c>
      <c r="B11" s="122" t="s">
        <v>313</v>
      </c>
      <c r="C11" s="123">
        <f>SUM('Stavební rozpočet SO01'!AD8:AD168)</f>
        <v>0</v>
      </c>
      <c r="D11" s="124" t="s">
        <v>318</v>
      </c>
      <c r="E11" s="125"/>
      <c r="F11" s="123">
        <f>VORN!I17</f>
        <v>0</v>
      </c>
      <c r="G11" s="124" t="s">
        <v>319</v>
      </c>
      <c r="H11" s="125"/>
      <c r="I11" s="126">
        <f>VORN!I23</f>
        <v>0</v>
      </c>
    </row>
    <row r="12" spans="1:9" ht="15.75">
      <c r="A12" s="127" t="s">
        <v>49</v>
      </c>
      <c r="B12" s="122" t="s">
        <v>34</v>
      </c>
      <c r="C12" s="123">
        <f>SUM('Stavební rozpočet SO01'!AE8:AE168)</f>
        <v>0</v>
      </c>
      <c r="D12" s="124" t="s">
        <v>49</v>
      </c>
      <c r="E12" s="125"/>
      <c r="F12" s="126" t="s">
        <v>49</v>
      </c>
      <c r="G12" s="124" t="s">
        <v>298</v>
      </c>
      <c r="H12" s="125"/>
      <c r="I12" s="126">
        <f>VORN!I24</f>
        <v>0</v>
      </c>
    </row>
    <row r="13" spans="1:9" ht="15.75">
      <c r="A13" s="121" t="s">
        <v>320</v>
      </c>
      <c r="B13" s="122" t="s">
        <v>313</v>
      </c>
      <c r="C13" s="123">
        <f>SUM('Stavební rozpočet SO01'!AF8:AF168)</f>
        <v>0</v>
      </c>
      <c r="D13" s="124" t="s">
        <v>49</v>
      </c>
      <c r="E13" s="125"/>
      <c r="F13" s="126" t="s">
        <v>49</v>
      </c>
      <c r="G13" s="124" t="s">
        <v>321</v>
      </c>
      <c r="H13" s="125"/>
      <c r="I13" s="126">
        <f>VORN!I25</f>
        <v>0</v>
      </c>
    </row>
    <row r="14" spans="1:9" ht="15.75">
      <c r="A14" s="127" t="s">
        <v>49</v>
      </c>
      <c r="B14" s="122" t="s">
        <v>34</v>
      </c>
      <c r="C14" s="123">
        <f>SUM('Stavební rozpočet SO01'!AG8:AG168)</f>
        <v>0</v>
      </c>
      <c r="D14" s="124" t="s">
        <v>49</v>
      </c>
      <c r="E14" s="125"/>
      <c r="F14" s="126" t="s">
        <v>49</v>
      </c>
      <c r="G14" s="124" t="s">
        <v>322</v>
      </c>
      <c r="H14" s="125"/>
      <c r="I14" s="126">
        <f>VORN!I26</f>
        <v>0</v>
      </c>
    </row>
    <row r="15" spans="1:9" ht="15.75">
      <c r="A15" s="128" t="s">
        <v>323</v>
      </c>
      <c r="B15" s="129"/>
      <c r="C15" s="123">
        <f>SUM('Stavební rozpočet SO01'!AH8:AH168)</f>
        <v>0</v>
      </c>
      <c r="D15" s="124" t="s">
        <v>49</v>
      </c>
      <c r="E15" s="125"/>
      <c r="F15" s="126" t="s">
        <v>49</v>
      </c>
      <c r="G15" s="124" t="s">
        <v>49</v>
      </c>
      <c r="H15" s="125"/>
      <c r="I15" s="126" t="s">
        <v>49</v>
      </c>
    </row>
    <row r="16" spans="1:9" ht="15.75">
      <c r="A16" s="130" t="s">
        <v>324</v>
      </c>
      <c r="B16" s="131"/>
      <c r="C16" s="132">
        <f>SUM('Stavební rozpočet SO01'!Z8:Z168)</f>
        <v>0</v>
      </c>
      <c r="D16" s="133" t="s">
        <v>49</v>
      </c>
      <c r="E16" s="134"/>
      <c r="F16" s="135" t="s">
        <v>49</v>
      </c>
      <c r="G16" s="133" t="s">
        <v>49</v>
      </c>
      <c r="H16" s="134"/>
      <c r="I16" s="135" t="s">
        <v>49</v>
      </c>
    </row>
    <row r="17" spans="1:9" ht="16.5" customHeight="1">
      <c r="A17" s="136" t="s">
        <v>325</v>
      </c>
      <c r="B17" s="137"/>
      <c r="C17" s="138">
        <f>SUM(C9:C16)</f>
        <v>0</v>
      </c>
      <c r="D17" s="139" t="s">
        <v>326</v>
      </c>
      <c r="E17" s="137"/>
      <c r="F17" s="138">
        <f>SUM(F9:F16)</f>
        <v>0</v>
      </c>
      <c r="G17" s="139" t="s">
        <v>327</v>
      </c>
      <c r="H17" s="137"/>
      <c r="I17" s="138">
        <f>SUM(I9:I16)</f>
        <v>0</v>
      </c>
    </row>
    <row r="18" spans="4:9" ht="15.75">
      <c r="D18" s="128" t="s">
        <v>328</v>
      </c>
      <c r="E18" s="129"/>
      <c r="F18" s="140">
        <v>0</v>
      </c>
      <c r="G18" s="141" t="s">
        <v>329</v>
      </c>
      <c r="H18" s="129"/>
      <c r="I18" s="123">
        <v>0</v>
      </c>
    </row>
    <row r="19" spans="7:9" ht="15.75">
      <c r="G19" s="128" t="s">
        <v>330</v>
      </c>
      <c r="H19" s="129"/>
      <c r="I19" s="132">
        <f>vorn_sum</f>
        <v>0</v>
      </c>
    </row>
    <row r="20" spans="7:9" ht="15.75">
      <c r="G20" s="128" t="s">
        <v>331</v>
      </c>
      <c r="H20" s="129"/>
      <c r="I20" s="138">
        <v>0</v>
      </c>
    </row>
    <row r="22" spans="1:3" ht="15.75">
      <c r="A22" s="142" t="s">
        <v>332</v>
      </c>
      <c r="B22" s="143"/>
      <c r="C22" s="144">
        <f>SUM('Stavební rozpočet SO01'!AJ8:AJ168)</f>
        <v>0</v>
      </c>
    </row>
    <row r="23" spans="1:9" ht="15.75">
      <c r="A23" s="145" t="s">
        <v>333</v>
      </c>
      <c r="B23" s="146"/>
      <c r="C23" s="147">
        <f>SUM('Stavební rozpočet SO01'!AK8:AK168)</f>
        <v>0</v>
      </c>
      <c r="D23" s="148" t="s">
        <v>334</v>
      </c>
      <c r="E23" s="143"/>
      <c r="F23" s="144">
        <f>ROUND(C23*(12/100),2)</f>
        <v>0</v>
      </c>
      <c r="G23" s="148" t="s">
        <v>335</v>
      </c>
      <c r="H23" s="143"/>
      <c r="I23" s="144">
        <f>SUM(C22:C24)</f>
        <v>0</v>
      </c>
    </row>
    <row r="24" spans="1:9" ht="15.75">
      <c r="A24" s="145" t="s">
        <v>336</v>
      </c>
      <c r="B24" s="146"/>
      <c r="C24" s="147">
        <f>SUM('Stavební rozpočet SO01'!AL8:AL168)+(F17+I17+F18+I18+I19+I20)</f>
        <v>0</v>
      </c>
      <c r="D24" s="149" t="s">
        <v>337</v>
      </c>
      <c r="E24" s="146"/>
      <c r="F24" s="147">
        <f>ROUND(C24*(21/100),2)</f>
        <v>0</v>
      </c>
      <c r="G24" s="149" t="s">
        <v>338</v>
      </c>
      <c r="H24" s="146"/>
      <c r="I24" s="147">
        <f>SUM(F23:F24)+I23</f>
        <v>0</v>
      </c>
    </row>
    <row r="26" spans="1:9" ht="15">
      <c r="A26" s="150" t="s">
        <v>339</v>
      </c>
      <c r="B26" s="151"/>
      <c r="C26" s="152"/>
      <c r="D26" s="153" t="s">
        <v>340</v>
      </c>
      <c r="E26" s="151"/>
      <c r="F26" s="152"/>
      <c r="G26" s="153" t="s">
        <v>341</v>
      </c>
      <c r="H26" s="151"/>
      <c r="I26" s="152"/>
    </row>
    <row r="27" spans="1:9" ht="15">
      <c r="A27" s="154" t="s">
        <v>49</v>
      </c>
      <c r="B27" s="155"/>
      <c r="C27" s="156"/>
      <c r="D27" s="157" t="s">
        <v>49</v>
      </c>
      <c r="E27" s="155"/>
      <c r="F27" s="156"/>
      <c r="G27" s="157" t="s">
        <v>49</v>
      </c>
      <c r="H27" s="155"/>
      <c r="I27" s="156"/>
    </row>
    <row r="28" spans="1:9" ht="15">
      <c r="A28" s="154" t="s">
        <v>49</v>
      </c>
      <c r="B28" s="155"/>
      <c r="C28" s="156"/>
      <c r="D28" s="157" t="s">
        <v>49</v>
      </c>
      <c r="E28" s="155"/>
      <c r="F28" s="156"/>
      <c r="G28" s="157" t="s">
        <v>49</v>
      </c>
      <c r="H28" s="155"/>
      <c r="I28" s="156"/>
    </row>
    <row r="29" spans="1:9" ht="15">
      <c r="A29" s="154" t="s">
        <v>49</v>
      </c>
      <c r="B29" s="155"/>
      <c r="C29" s="156"/>
      <c r="D29" s="157" t="s">
        <v>49</v>
      </c>
      <c r="E29" s="155"/>
      <c r="F29" s="156"/>
      <c r="G29" s="157" t="s">
        <v>49</v>
      </c>
      <c r="H29" s="155"/>
      <c r="I29" s="156"/>
    </row>
    <row r="30" spans="1:9" ht="15">
      <c r="A30" s="158" t="s">
        <v>342</v>
      </c>
      <c r="B30" s="159"/>
      <c r="C30" s="160"/>
      <c r="D30" s="161" t="s">
        <v>342</v>
      </c>
      <c r="E30" s="159"/>
      <c r="F30" s="160"/>
      <c r="G30" s="161" t="s">
        <v>342</v>
      </c>
      <c r="H30" s="159"/>
      <c r="I30" s="160"/>
    </row>
    <row r="31" ht="15">
      <c r="A31" s="162" t="s">
        <v>300</v>
      </c>
    </row>
    <row r="32" spans="1:9" ht="12.75" customHeight="1">
      <c r="A32" s="59" t="s">
        <v>49</v>
      </c>
      <c r="B32" s="56"/>
      <c r="C32" s="56"/>
      <c r="D32" s="56"/>
      <c r="E32" s="56"/>
      <c r="F32" s="56"/>
      <c r="G32" s="56"/>
      <c r="H32" s="56"/>
      <c r="I32" s="56"/>
    </row>
  </sheetData>
  <sheetProtection algorithmName="SHA-512" hashValue="ZNBfywXG+w0LnMUXKKiPCiN5k75UgL6TnoqC1+/6eAitlNelLO49JwEPSpSJA1sfgcHBdGxWUUp/EKfpjcx2dg==" saltValue="aqVGupCV2kOaJrrqNB/HnQ==" spinCount="100000" sheet="1"/>
  <mergeCells count="68">
    <mergeCell ref="A1:I1"/>
    <mergeCell ref="A2:B2"/>
    <mergeCell ref="A3:B3"/>
    <mergeCell ref="A4:B4"/>
    <mergeCell ref="A5:B5"/>
    <mergeCell ref="F2:G2"/>
    <mergeCell ref="F3:G3"/>
    <mergeCell ref="F4:G4"/>
    <mergeCell ref="F5:G5"/>
    <mergeCell ref="C2:D2"/>
    <mergeCell ref="C3:D3"/>
    <mergeCell ref="C4:D4"/>
    <mergeCell ref="C5:D5"/>
    <mergeCell ref="C6:D6"/>
    <mergeCell ref="A7:I7"/>
    <mergeCell ref="B8:C8"/>
    <mergeCell ref="E8:F8"/>
    <mergeCell ref="H8:I8"/>
    <mergeCell ref="F6:G6"/>
    <mergeCell ref="A6:B6"/>
    <mergeCell ref="A15:B15"/>
    <mergeCell ref="A16:B16"/>
    <mergeCell ref="A17:B1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22:B22"/>
    <mergeCell ref="A23:B23"/>
    <mergeCell ref="A24:B24"/>
    <mergeCell ref="D23:E23"/>
    <mergeCell ref="D24:E24"/>
    <mergeCell ref="G23:H23"/>
    <mergeCell ref="G24:H24"/>
    <mergeCell ref="A32:I32"/>
    <mergeCell ref="G26:I26"/>
    <mergeCell ref="G27:I27"/>
    <mergeCell ref="G28:I28"/>
    <mergeCell ref="G29:I29"/>
    <mergeCell ref="G30:I30"/>
    <mergeCell ref="D26:F26"/>
    <mergeCell ref="D27:F27"/>
    <mergeCell ref="D28:F28"/>
    <mergeCell ref="D29:F29"/>
    <mergeCell ref="D30:F30"/>
    <mergeCell ref="A26:C26"/>
    <mergeCell ref="A27:C27"/>
    <mergeCell ref="A28:C28"/>
    <mergeCell ref="A29:C29"/>
    <mergeCell ref="A30:C30"/>
  </mergeCells>
  <printOptions/>
  <pageMargins left="0.393999993801117" right="0.393999993801117" top="0.591000020503998" bottom="0.591000020503998" header="0" footer="0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69"/>
  <sheetViews>
    <sheetView workbookViewId="0" topLeftCell="A1">
      <pane ySplit="7" topLeftCell="A8" activePane="bottomLeft" state="frozen"/>
      <selection pane="bottomLeft" activeCell="A1" sqref="A1:K1"/>
    </sheetView>
  </sheetViews>
  <sheetFormatPr defaultColWidth="12.140625" defaultRowHeight="15" customHeight="1"/>
  <cols>
    <col min="1" max="1" width="4.00390625" style="48" customWidth="1"/>
    <col min="2" max="2" width="17.8515625" style="48" customWidth="1"/>
    <col min="3" max="3" width="42.8515625" style="48" customWidth="1"/>
    <col min="4" max="4" width="20.8515625" style="48" customWidth="1"/>
    <col min="5" max="5" width="5.8515625" style="48" customWidth="1"/>
    <col min="6" max="6" width="12.8515625" style="48" customWidth="1"/>
    <col min="7" max="7" width="12.00390625" style="48" customWidth="1"/>
    <col min="8" max="10" width="15.7109375" style="48" customWidth="1"/>
    <col min="11" max="11" width="13.421875" style="48" customWidth="1"/>
    <col min="12" max="24" width="12.140625" style="48" customWidth="1"/>
    <col min="25" max="75" width="12.140625" style="48" hidden="1" customWidth="1"/>
    <col min="76" max="76" width="63.7109375" style="48" hidden="1" customWidth="1"/>
    <col min="77" max="78" width="12.140625" style="48" hidden="1" customWidth="1"/>
    <col min="79" max="16384" width="12.140625" style="48" customWidth="1"/>
  </cols>
  <sheetData>
    <row r="1" spans="1:47" ht="54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AS1" s="49">
        <f>SUM(AJ1:AJ2)</f>
        <v>0</v>
      </c>
      <c r="AT1" s="49">
        <f>SUM(AK1:AK2)</f>
        <v>0</v>
      </c>
      <c r="AU1" s="49">
        <f>SUM(AL1:AL2)</f>
        <v>0</v>
      </c>
    </row>
    <row r="2" spans="1:11" ht="35.1" customHeight="1">
      <c r="A2" s="50" t="s">
        <v>1</v>
      </c>
      <c r="B2" s="51"/>
      <c r="C2" s="52" t="s">
        <v>453</v>
      </c>
      <c r="D2" s="53"/>
      <c r="E2" s="51" t="s">
        <v>2</v>
      </c>
      <c r="F2" s="51"/>
      <c r="G2" s="284" t="s">
        <v>3</v>
      </c>
      <c r="H2" s="286" t="s">
        <v>4</v>
      </c>
      <c r="I2" s="54" t="s">
        <v>5</v>
      </c>
      <c r="J2" s="51"/>
      <c r="K2" s="55"/>
    </row>
    <row r="3" spans="1:11" ht="35.1" customHeight="1">
      <c r="A3" s="58" t="s">
        <v>6</v>
      </c>
      <c r="B3" s="56"/>
      <c r="C3" s="59" t="s">
        <v>7</v>
      </c>
      <c r="D3" s="56"/>
      <c r="E3" s="56" t="s">
        <v>8</v>
      </c>
      <c r="F3" s="56"/>
      <c r="G3" s="89" t="s">
        <v>3</v>
      </c>
      <c r="H3" s="93" t="s">
        <v>9</v>
      </c>
      <c r="I3" s="59" t="s">
        <v>10</v>
      </c>
      <c r="J3" s="56"/>
      <c r="K3" s="57"/>
    </row>
    <row r="4" spans="1:11" ht="35.1" customHeight="1">
      <c r="A4" s="58" t="s">
        <v>11</v>
      </c>
      <c r="B4" s="56"/>
      <c r="C4" s="59" t="s">
        <v>12</v>
      </c>
      <c r="D4" s="56"/>
      <c r="E4" s="56" t="s">
        <v>13</v>
      </c>
      <c r="F4" s="56"/>
      <c r="G4" s="89" t="s">
        <v>3</v>
      </c>
      <c r="H4" s="93" t="s">
        <v>14</v>
      </c>
      <c r="I4" s="113"/>
      <c r="J4" s="113"/>
      <c r="K4" s="114"/>
    </row>
    <row r="5" spans="1:11" ht="35.1" customHeight="1">
      <c r="A5" s="58" t="s">
        <v>15</v>
      </c>
      <c r="B5" s="56"/>
      <c r="C5" s="59" t="s">
        <v>3</v>
      </c>
      <c r="D5" s="56"/>
      <c r="E5" s="56" t="s">
        <v>16</v>
      </c>
      <c r="F5" s="56"/>
      <c r="G5" s="89" t="s">
        <v>17</v>
      </c>
      <c r="H5" s="93" t="s">
        <v>18</v>
      </c>
      <c r="I5" s="59" t="s">
        <v>19</v>
      </c>
      <c r="J5" s="56"/>
      <c r="K5" s="57"/>
    </row>
    <row r="6" spans="1:75" ht="15">
      <c r="A6" s="60" t="s">
        <v>20</v>
      </c>
      <c r="B6" s="61" t="s">
        <v>21</v>
      </c>
      <c r="C6" s="62" t="s">
        <v>22</v>
      </c>
      <c r="D6" s="63"/>
      <c r="E6" s="61" t="s">
        <v>23</v>
      </c>
      <c r="F6" s="64" t="s">
        <v>24</v>
      </c>
      <c r="G6" s="65" t="s">
        <v>25</v>
      </c>
      <c r="H6" s="66" t="s">
        <v>26</v>
      </c>
      <c r="I6" s="67"/>
      <c r="J6" s="68"/>
      <c r="K6" s="69" t="s">
        <v>27</v>
      </c>
      <c r="BK6" s="70" t="s">
        <v>28</v>
      </c>
      <c r="BL6" s="71" t="s">
        <v>29</v>
      </c>
      <c r="BW6" s="71" t="s">
        <v>30</v>
      </c>
    </row>
    <row r="7" spans="1:62" ht="15">
      <c r="A7" s="72" t="s">
        <v>3</v>
      </c>
      <c r="B7" s="73" t="s">
        <v>3</v>
      </c>
      <c r="C7" s="74" t="s">
        <v>31</v>
      </c>
      <c r="D7" s="75"/>
      <c r="E7" s="73" t="s">
        <v>3</v>
      </c>
      <c r="F7" s="73" t="s">
        <v>3</v>
      </c>
      <c r="G7" s="76" t="s">
        <v>32</v>
      </c>
      <c r="H7" s="77" t="s">
        <v>33</v>
      </c>
      <c r="I7" s="78" t="s">
        <v>34</v>
      </c>
      <c r="J7" s="79" t="s">
        <v>35</v>
      </c>
      <c r="K7" s="80" t="s">
        <v>36</v>
      </c>
      <c r="Z7" s="70" t="s">
        <v>37</v>
      </c>
      <c r="AA7" s="70" t="s">
        <v>38</v>
      </c>
      <c r="AB7" s="70" t="s">
        <v>39</v>
      </c>
      <c r="AC7" s="70" t="s">
        <v>40</v>
      </c>
      <c r="AD7" s="70" t="s">
        <v>41</v>
      </c>
      <c r="AE7" s="70" t="s">
        <v>42</v>
      </c>
      <c r="AF7" s="70" t="s">
        <v>43</v>
      </c>
      <c r="AG7" s="70" t="s">
        <v>44</v>
      </c>
      <c r="AH7" s="70" t="s">
        <v>45</v>
      </c>
      <c r="BH7" s="70" t="s">
        <v>46</v>
      </c>
      <c r="BI7" s="70" t="s">
        <v>47</v>
      </c>
      <c r="BJ7" s="70" t="s">
        <v>48</v>
      </c>
    </row>
    <row r="8" spans="1:47" ht="15">
      <c r="A8" s="81" t="s">
        <v>49</v>
      </c>
      <c r="B8" s="82" t="s">
        <v>50</v>
      </c>
      <c r="C8" s="83" t="s">
        <v>51</v>
      </c>
      <c r="D8" s="84"/>
      <c r="E8" s="85" t="s">
        <v>3</v>
      </c>
      <c r="F8" s="85" t="s">
        <v>3</v>
      </c>
      <c r="G8" s="85" t="s">
        <v>3</v>
      </c>
      <c r="H8" s="86">
        <f>SUM(H9:H11)</f>
        <v>0</v>
      </c>
      <c r="I8" s="86">
        <f>SUM(I9:I11)</f>
        <v>0</v>
      </c>
      <c r="J8" s="86">
        <f>SUM(J9:J11)</f>
        <v>0</v>
      </c>
      <c r="K8" s="87" t="s">
        <v>49</v>
      </c>
      <c r="AI8" s="70" t="s">
        <v>49</v>
      </c>
      <c r="AS8" s="49">
        <f>SUM(AJ9:AJ11)</f>
        <v>0</v>
      </c>
      <c r="AT8" s="49">
        <f>SUM(AK9:AK11)</f>
        <v>0</v>
      </c>
      <c r="AU8" s="49">
        <f>SUM(AL9:AL11)</f>
        <v>0</v>
      </c>
    </row>
    <row r="9" spans="1:76" ht="25.5">
      <c r="A9" s="88" t="s">
        <v>52</v>
      </c>
      <c r="B9" s="89" t="s">
        <v>53</v>
      </c>
      <c r="C9" s="59" t="s">
        <v>54</v>
      </c>
      <c r="D9" s="56"/>
      <c r="E9" s="89" t="s">
        <v>55</v>
      </c>
      <c r="F9" s="90">
        <v>1</v>
      </c>
      <c r="G9" s="281"/>
      <c r="H9" s="90">
        <f>F9*AO9</f>
        <v>0</v>
      </c>
      <c r="I9" s="90">
        <f>F9*AP9</f>
        <v>0</v>
      </c>
      <c r="J9" s="90">
        <f>F9*G9</f>
        <v>0</v>
      </c>
      <c r="K9" s="91" t="s">
        <v>49</v>
      </c>
      <c r="Z9" s="90">
        <f>IF(AQ9="5",BJ9,0)</f>
        <v>0</v>
      </c>
      <c r="AB9" s="90">
        <f>IF(AQ9="1",BH9,0)</f>
        <v>0</v>
      </c>
      <c r="AC9" s="90">
        <f>IF(AQ9="1",BI9,0)</f>
        <v>0</v>
      </c>
      <c r="AD9" s="90">
        <f>IF(AQ9="7",BH9,0)</f>
        <v>0</v>
      </c>
      <c r="AE9" s="90">
        <f>IF(AQ9="7",BI9,0)</f>
        <v>0</v>
      </c>
      <c r="AF9" s="90">
        <f>IF(AQ9="2",BH9,0)</f>
        <v>0</v>
      </c>
      <c r="AG9" s="90">
        <f>IF(AQ9="2",BI9,0)</f>
        <v>0</v>
      </c>
      <c r="AH9" s="90">
        <f>IF(AQ9="0",BJ9,0)</f>
        <v>0</v>
      </c>
      <c r="AI9" s="70" t="s">
        <v>49</v>
      </c>
      <c r="AJ9" s="90">
        <f>IF(AN9=0,J9,0)</f>
        <v>0</v>
      </c>
      <c r="AK9" s="90">
        <f>IF(AN9=12,J9,0)</f>
        <v>0</v>
      </c>
      <c r="AL9" s="90">
        <f>IF(AN9=21,J9,0)</f>
        <v>0</v>
      </c>
      <c r="AN9" s="90">
        <v>21</v>
      </c>
      <c r="AO9" s="90">
        <f>G9*0.75</f>
        <v>0</v>
      </c>
      <c r="AP9" s="90">
        <f>G9*(1-0.75)</f>
        <v>0</v>
      </c>
      <c r="AQ9" s="92" t="s">
        <v>52</v>
      </c>
      <c r="AV9" s="90">
        <f>AW9+AX9</f>
        <v>0</v>
      </c>
      <c r="AW9" s="90">
        <f>F9*AO9</f>
        <v>0</v>
      </c>
      <c r="AX9" s="90">
        <f>F9*AP9</f>
        <v>0</v>
      </c>
      <c r="AY9" s="92" t="s">
        <v>56</v>
      </c>
      <c r="AZ9" s="92" t="s">
        <v>56</v>
      </c>
      <c r="BA9" s="70" t="s">
        <v>57</v>
      </c>
      <c r="BC9" s="90">
        <f>AW9+AX9</f>
        <v>0</v>
      </c>
      <c r="BD9" s="90">
        <f>G9/(100-BE9)*100</f>
        <v>0</v>
      </c>
      <c r="BE9" s="90">
        <v>0</v>
      </c>
      <c r="BF9" s="90">
        <f>13</f>
        <v>13</v>
      </c>
      <c r="BH9" s="90">
        <f>F9*AO9</f>
        <v>0</v>
      </c>
      <c r="BI9" s="90">
        <f>F9*AP9</f>
        <v>0</v>
      </c>
      <c r="BJ9" s="90">
        <f>F9*G9</f>
        <v>0</v>
      </c>
      <c r="BK9" s="90"/>
      <c r="BL9" s="90">
        <v>0</v>
      </c>
      <c r="BW9" s="90">
        <v>21</v>
      </c>
      <c r="BX9" s="93" t="s">
        <v>54</v>
      </c>
    </row>
    <row r="10" spans="1:11" ht="15">
      <c r="A10" s="94"/>
      <c r="C10" s="95" t="s">
        <v>58</v>
      </c>
      <c r="D10" s="95" t="s">
        <v>49</v>
      </c>
      <c r="F10" s="96">
        <v>1</v>
      </c>
      <c r="K10" s="97"/>
    </row>
    <row r="11" spans="1:76" ht="15">
      <c r="A11" s="88" t="s">
        <v>59</v>
      </c>
      <c r="B11" s="89" t="s">
        <v>60</v>
      </c>
      <c r="C11" s="59" t="s">
        <v>61</v>
      </c>
      <c r="D11" s="56"/>
      <c r="E11" s="89" t="s">
        <v>55</v>
      </c>
      <c r="F11" s="90">
        <v>1</v>
      </c>
      <c r="G11" s="281"/>
      <c r="H11" s="90">
        <f>F11*AO11</f>
        <v>0</v>
      </c>
      <c r="I11" s="90">
        <f>F11*AP11</f>
        <v>0</v>
      </c>
      <c r="J11" s="90">
        <f>F11*G11</f>
        <v>0</v>
      </c>
      <c r="K11" s="91" t="s">
        <v>49</v>
      </c>
      <c r="Z11" s="90">
        <f>IF(AQ11="5",BJ11,0)</f>
        <v>0</v>
      </c>
      <c r="AB11" s="90">
        <f>IF(AQ11="1",BH11,0)</f>
        <v>0</v>
      </c>
      <c r="AC11" s="90">
        <f>IF(AQ11="1",BI11,0)</f>
        <v>0</v>
      </c>
      <c r="AD11" s="90">
        <f>IF(AQ11="7",BH11,0)</f>
        <v>0</v>
      </c>
      <c r="AE11" s="90">
        <f>IF(AQ11="7",BI11,0)</f>
        <v>0</v>
      </c>
      <c r="AF11" s="90">
        <f>IF(AQ11="2",BH11,0)</f>
        <v>0</v>
      </c>
      <c r="AG11" s="90">
        <f>IF(AQ11="2",BI11,0)</f>
        <v>0</v>
      </c>
      <c r="AH11" s="90">
        <f>IF(AQ11="0",BJ11,0)</f>
        <v>0</v>
      </c>
      <c r="AI11" s="70" t="s">
        <v>49</v>
      </c>
      <c r="AJ11" s="90">
        <f>IF(AN11=0,J11,0)</f>
        <v>0</v>
      </c>
      <c r="AK11" s="90">
        <f>IF(AN11=12,J11,0)</f>
        <v>0</v>
      </c>
      <c r="AL11" s="90">
        <f>IF(AN11=21,J11,0)</f>
        <v>0</v>
      </c>
      <c r="AN11" s="90">
        <v>21</v>
      </c>
      <c r="AO11" s="90">
        <f>G11*0.916666667</f>
        <v>0</v>
      </c>
      <c r="AP11" s="90">
        <f>G11*(1-0.916666667)</f>
        <v>0</v>
      </c>
      <c r="AQ11" s="92" t="s">
        <v>52</v>
      </c>
      <c r="AV11" s="90">
        <f>AW11+AX11</f>
        <v>0</v>
      </c>
      <c r="AW11" s="90">
        <f>F11*AO11</f>
        <v>0</v>
      </c>
      <c r="AX11" s="90">
        <f>F11*AP11</f>
        <v>0</v>
      </c>
      <c r="AY11" s="92" t="s">
        <v>56</v>
      </c>
      <c r="AZ11" s="92" t="s">
        <v>56</v>
      </c>
      <c r="BA11" s="70" t="s">
        <v>57</v>
      </c>
      <c r="BC11" s="90">
        <f>AW11+AX11</f>
        <v>0</v>
      </c>
      <c r="BD11" s="90">
        <f>G11/(100-BE11)*100</f>
        <v>0</v>
      </c>
      <c r="BE11" s="90">
        <v>0</v>
      </c>
      <c r="BF11" s="90">
        <f>15</f>
        <v>15</v>
      </c>
      <c r="BH11" s="90">
        <f>F11*AO11</f>
        <v>0</v>
      </c>
      <c r="BI11" s="90">
        <f>F11*AP11</f>
        <v>0</v>
      </c>
      <c r="BJ11" s="90">
        <f>F11*G11</f>
        <v>0</v>
      </c>
      <c r="BK11" s="90"/>
      <c r="BL11" s="90">
        <v>0</v>
      </c>
      <c r="BW11" s="90">
        <v>21</v>
      </c>
      <c r="BX11" s="93" t="s">
        <v>61</v>
      </c>
    </row>
    <row r="12" spans="1:11" ht="15">
      <c r="A12" s="94"/>
      <c r="C12" s="95" t="s">
        <v>62</v>
      </c>
      <c r="D12" s="95" t="s">
        <v>49</v>
      </c>
      <c r="F12" s="96">
        <v>1</v>
      </c>
      <c r="K12" s="97"/>
    </row>
    <row r="13" spans="1:47" ht="15">
      <c r="A13" s="98" t="s">
        <v>49</v>
      </c>
      <c r="B13" s="99" t="s">
        <v>63</v>
      </c>
      <c r="C13" s="100" t="s">
        <v>64</v>
      </c>
      <c r="D13" s="101"/>
      <c r="E13" s="102" t="s">
        <v>3</v>
      </c>
      <c r="F13" s="102" t="s">
        <v>3</v>
      </c>
      <c r="G13" s="102" t="s">
        <v>3</v>
      </c>
      <c r="H13" s="49">
        <f>SUM(H14:H84)</f>
        <v>0</v>
      </c>
      <c r="I13" s="49">
        <f>SUM(I14:I84)</f>
        <v>0</v>
      </c>
      <c r="J13" s="49">
        <f>SUM(J14:J84)</f>
        <v>0</v>
      </c>
      <c r="K13" s="103" t="s">
        <v>49</v>
      </c>
      <c r="AI13" s="70" t="s">
        <v>49</v>
      </c>
      <c r="AS13" s="49">
        <f>SUM(AJ14:AJ84)</f>
        <v>0</v>
      </c>
      <c r="AT13" s="49">
        <f>SUM(AK14:AK84)</f>
        <v>0</v>
      </c>
      <c r="AU13" s="49">
        <f>SUM(AL14:AL84)</f>
        <v>0</v>
      </c>
    </row>
    <row r="14" spans="1:76" ht="15">
      <c r="A14" s="88" t="s">
        <v>65</v>
      </c>
      <c r="B14" s="89" t="s">
        <v>66</v>
      </c>
      <c r="C14" s="59" t="s">
        <v>67</v>
      </c>
      <c r="D14" s="56"/>
      <c r="E14" s="89" t="s">
        <v>68</v>
      </c>
      <c r="F14" s="90">
        <v>6</v>
      </c>
      <c r="G14" s="281"/>
      <c r="H14" s="90">
        <f>F14*AO14</f>
        <v>0</v>
      </c>
      <c r="I14" s="90">
        <f>F14*AP14</f>
        <v>0</v>
      </c>
      <c r="J14" s="90">
        <f>F14*G14</f>
        <v>0</v>
      </c>
      <c r="K14" s="91" t="s">
        <v>49</v>
      </c>
      <c r="Z14" s="90">
        <f>IF(AQ14="5",BJ14,0)</f>
        <v>0</v>
      </c>
      <c r="AB14" s="90">
        <f>IF(AQ14="1",BH14,0)</f>
        <v>0</v>
      </c>
      <c r="AC14" s="90">
        <f>IF(AQ14="1",BI14,0)</f>
        <v>0</v>
      </c>
      <c r="AD14" s="90">
        <f>IF(AQ14="7",BH14,0)</f>
        <v>0</v>
      </c>
      <c r="AE14" s="90">
        <f>IF(AQ14="7",BI14,0)</f>
        <v>0</v>
      </c>
      <c r="AF14" s="90">
        <f>IF(AQ14="2",BH14,0)</f>
        <v>0</v>
      </c>
      <c r="AG14" s="90">
        <f>IF(AQ14="2",BI14,0)</f>
        <v>0</v>
      </c>
      <c r="AH14" s="90">
        <f>IF(AQ14="0",BJ14,0)</f>
        <v>0</v>
      </c>
      <c r="AI14" s="70" t="s">
        <v>49</v>
      </c>
      <c r="AJ14" s="90">
        <f>IF(AN14=0,J14,0)</f>
        <v>0</v>
      </c>
      <c r="AK14" s="90">
        <f>IF(AN14=12,J14,0)</f>
        <v>0</v>
      </c>
      <c r="AL14" s="90">
        <f>IF(AN14=21,J14,0)</f>
        <v>0</v>
      </c>
      <c r="AN14" s="90">
        <v>21</v>
      </c>
      <c r="AO14" s="90">
        <f>G14*0.714285714</f>
        <v>0</v>
      </c>
      <c r="AP14" s="90">
        <f>G14*(1-0.714285714)</f>
        <v>0</v>
      </c>
      <c r="AQ14" s="92" t="s">
        <v>69</v>
      </c>
      <c r="AV14" s="90">
        <f>AW14+AX14</f>
        <v>0</v>
      </c>
      <c r="AW14" s="90">
        <f>F14*AO14</f>
        <v>0</v>
      </c>
      <c r="AX14" s="90">
        <f>F14*AP14</f>
        <v>0</v>
      </c>
      <c r="AY14" s="92" t="s">
        <v>70</v>
      </c>
      <c r="AZ14" s="92" t="s">
        <v>71</v>
      </c>
      <c r="BA14" s="70" t="s">
        <v>57</v>
      </c>
      <c r="BC14" s="90">
        <f>AW14+AX14</f>
        <v>0</v>
      </c>
      <c r="BD14" s="90">
        <f>G14/(100-BE14)*100</f>
        <v>0</v>
      </c>
      <c r="BE14" s="90">
        <v>0</v>
      </c>
      <c r="BF14" s="90">
        <f>18</f>
        <v>18</v>
      </c>
      <c r="BH14" s="90">
        <f>F14*AO14</f>
        <v>0</v>
      </c>
      <c r="BI14" s="90">
        <f>F14*AP14</f>
        <v>0</v>
      </c>
      <c r="BJ14" s="90">
        <f>F14*G14</f>
        <v>0</v>
      </c>
      <c r="BK14" s="90"/>
      <c r="BL14" s="90">
        <v>712</v>
      </c>
      <c r="BW14" s="90">
        <v>21</v>
      </c>
      <c r="BX14" s="93" t="s">
        <v>67</v>
      </c>
    </row>
    <row r="15" spans="1:11" ht="15">
      <c r="A15" s="94"/>
      <c r="C15" s="95" t="s">
        <v>72</v>
      </c>
      <c r="D15" s="95" t="s">
        <v>49</v>
      </c>
      <c r="F15" s="96">
        <v>3</v>
      </c>
      <c r="K15" s="97"/>
    </row>
    <row r="16" spans="1:11" ht="15">
      <c r="A16" s="94"/>
      <c r="C16" s="95" t="s">
        <v>73</v>
      </c>
      <c r="D16" s="95" t="s">
        <v>49</v>
      </c>
      <c r="F16" s="96">
        <v>2</v>
      </c>
      <c r="K16" s="97"/>
    </row>
    <row r="17" spans="1:11" ht="15">
      <c r="A17" s="94"/>
      <c r="C17" s="95" t="s">
        <v>74</v>
      </c>
      <c r="D17" s="95" t="s">
        <v>49</v>
      </c>
      <c r="F17" s="96">
        <v>1</v>
      </c>
      <c r="K17" s="97"/>
    </row>
    <row r="18" spans="1:76" ht="15">
      <c r="A18" s="88" t="s">
        <v>75</v>
      </c>
      <c r="B18" s="89" t="s">
        <v>76</v>
      </c>
      <c r="C18" s="59" t="s">
        <v>77</v>
      </c>
      <c r="D18" s="56"/>
      <c r="E18" s="89" t="s">
        <v>78</v>
      </c>
      <c r="F18" s="90">
        <v>1513.3778</v>
      </c>
      <c r="G18" s="281"/>
      <c r="H18" s="90">
        <f>F18*AO18</f>
        <v>0</v>
      </c>
      <c r="I18" s="90">
        <f>F18*AP18</f>
        <v>0</v>
      </c>
      <c r="J18" s="90">
        <f>F18*G18</f>
        <v>0</v>
      </c>
      <c r="K18" s="91" t="s">
        <v>79</v>
      </c>
      <c r="Z18" s="90">
        <f>IF(AQ18="5",BJ18,0)</f>
        <v>0</v>
      </c>
      <c r="AB18" s="90">
        <f>IF(AQ18="1",BH18,0)</f>
        <v>0</v>
      </c>
      <c r="AC18" s="90">
        <f>IF(AQ18="1",BI18,0)</f>
        <v>0</v>
      </c>
      <c r="AD18" s="90">
        <f>IF(AQ18="7",BH18,0)</f>
        <v>0</v>
      </c>
      <c r="AE18" s="90">
        <f>IF(AQ18="7",BI18,0)</f>
        <v>0</v>
      </c>
      <c r="AF18" s="90">
        <f>IF(AQ18="2",BH18,0)</f>
        <v>0</v>
      </c>
      <c r="AG18" s="90">
        <f>IF(AQ18="2",BI18,0)</f>
        <v>0</v>
      </c>
      <c r="AH18" s="90">
        <f>IF(AQ18="0",BJ18,0)</f>
        <v>0</v>
      </c>
      <c r="AI18" s="70" t="s">
        <v>49</v>
      </c>
      <c r="AJ18" s="90">
        <f>IF(AN18=0,J18,0)</f>
        <v>0</v>
      </c>
      <c r="AK18" s="90">
        <f>IF(AN18=12,J18,0)</f>
        <v>0</v>
      </c>
      <c r="AL18" s="90">
        <f>IF(AN18=21,J18,0)</f>
        <v>0</v>
      </c>
      <c r="AN18" s="90">
        <v>21</v>
      </c>
      <c r="AO18" s="90">
        <f>G18*0</f>
        <v>0</v>
      </c>
      <c r="AP18" s="90">
        <f>G18*(1-0)</f>
        <v>0</v>
      </c>
      <c r="AQ18" s="92" t="s">
        <v>69</v>
      </c>
      <c r="AV18" s="90">
        <f>AW18+AX18</f>
        <v>0</v>
      </c>
      <c r="AW18" s="90">
        <f>F18*AO18</f>
        <v>0</v>
      </c>
      <c r="AX18" s="90">
        <f>F18*AP18</f>
        <v>0</v>
      </c>
      <c r="AY18" s="92" t="s">
        <v>70</v>
      </c>
      <c r="AZ18" s="92" t="s">
        <v>71</v>
      </c>
      <c r="BA18" s="70" t="s">
        <v>57</v>
      </c>
      <c r="BC18" s="90">
        <f>AW18+AX18</f>
        <v>0</v>
      </c>
      <c r="BD18" s="90">
        <f>G18/(100-BE18)*100</f>
        <v>0</v>
      </c>
      <c r="BE18" s="90">
        <v>0</v>
      </c>
      <c r="BF18" s="90">
        <f>22</f>
        <v>22</v>
      </c>
      <c r="BH18" s="90">
        <f>F18*AO18</f>
        <v>0</v>
      </c>
      <c r="BI18" s="90">
        <f>F18*AP18</f>
        <v>0</v>
      </c>
      <c r="BJ18" s="90">
        <f>F18*G18</f>
        <v>0</v>
      </c>
      <c r="BK18" s="90"/>
      <c r="BL18" s="90">
        <v>712</v>
      </c>
      <c r="BW18" s="90">
        <v>21</v>
      </c>
      <c r="BX18" s="93" t="s">
        <v>77</v>
      </c>
    </row>
    <row r="19" spans="1:11" ht="15">
      <c r="A19" s="94"/>
      <c r="C19" s="95" t="s">
        <v>80</v>
      </c>
      <c r="D19" s="95" t="s">
        <v>49</v>
      </c>
      <c r="F19" s="96">
        <v>965</v>
      </c>
      <c r="K19" s="97"/>
    </row>
    <row r="20" spans="1:11" ht="15">
      <c r="A20" s="94"/>
      <c r="C20" s="95" t="s">
        <v>81</v>
      </c>
      <c r="D20" s="95" t="s">
        <v>49</v>
      </c>
      <c r="F20" s="96">
        <v>360</v>
      </c>
      <c r="K20" s="97"/>
    </row>
    <row r="21" spans="1:11" ht="15">
      <c r="A21" s="94"/>
      <c r="C21" s="95" t="s">
        <v>82</v>
      </c>
      <c r="D21" s="95" t="s">
        <v>49</v>
      </c>
      <c r="F21" s="96">
        <v>74.4918</v>
      </c>
      <c r="K21" s="97"/>
    </row>
    <row r="22" spans="1:11" ht="15">
      <c r="A22" s="94"/>
      <c r="C22" s="95" t="s">
        <v>83</v>
      </c>
      <c r="D22" s="95" t="s">
        <v>49</v>
      </c>
      <c r="F22" s="96">
        <v>46.032</v>
      </c>
      <c r="K22" s="97"/>
    </row>
    <row r="23" spans="1:11" ht="15">
      <c r="A23" s="94"/>
      <c r="C23" s="95" t="s">
        <v>84</v>
      </c>
      <c r="D23" s="95" t="s">
        <v>49</v>
      </c>
      <c r="F23" s="96">
        <v>23.544</v>
      </c>
      <c r="K23" s="97"/>
    </row>
    <row r="24" spans="1:11" ht="15">
      <c r="A24" s="94"/>
      <c r="C24" s="95" t="s">
        <v>85</v>
      </c>
      <c r="D24" s="95" t="s">
        <v>49</v>
      </c>
      <c r="F24" s="96">
        <v>44.31</v>
      </c>
      <c r="K24" s="97"/>
    </row>
    <row r="25" spans="1:76" ht="15">
      <c r="A25" s="88" t="s">
        <v>86</v>
      </c>
      <c r="B25" s="89" t="s">
        <v>87</v>
      </c>
      <c r="C25" s="59" t="s">
        <v>88</v>
      </c>
      <c r="D25" s="56"/>
      <c r="E25" s="89" t="s">
        <v>89</v>
      </c>
      <c r="F25" s="90">
        <v>870.19223</v>
      </c>
      <c r="G25" s="281"/>
      <c r="H25" s="90">
        <f>F25*AO25</f>
        <v>0</v>
      </c>
      <c r="I25" s="90">
        <f>F25*AP25</f>
        <v>0</v>
      </c>
      <c r="J25" s="90">
        <f>F25*G25</f>
        <v>0</v>
      </c>
      <c r="K25" s="91" t="s">
        <v>79</v>
      </c>
      <c r="Z25" s="90">
        <f>IF(AQ25="5",BJ25,0)</f>
        <v>0</v>
      </c>
      <c r="AB25" s="90">
        <f>IF(AQ25="1",BH25,0)</f>
        <v>0</v>
      </c>
      <c r="AC25" s="90">
        <f>IF(AQ25="1",BI25,0)</f>
        <v>0</v>
      </c>
      <c r="AD25" s="90">
        <f>IF(AQ25="7",BH25,0)</f>
        <v>0</v>
      </c>
      <c r="AE25" s="90">
        <f>IF(AQ25="7",BI25,0)</f>
        <v>0</v>
      </c>
      <c r="AF25" s="90">
        <f>IF(AQ25="2",BH25,0)</f>
        <v>0</v>
      </c>
      <c r="AG25" s="90">
        <f>IF(AQ25="2",BI25,0)</f>
        <v>0</v>
      </c>
      <c r="AH25" s="90">
        <f>IF(AQ25="0",BJ25,0)</f>
        <v>0</v>
      </c>
      <c r="AI25" s="70" t="s">
        <v>49</v>
      </c>
      <c r="AJ25" s="90">
        <f>IF(AN25=0,J25,0)</f>
        <v>0</v>
      </c>
      <c r="AK25" s="90">
        <f>IF(AN25=12,J25,0)</f>
        <v>0</v>
      </c>
      <c r="AL25" s="90">
        <f>IF(AN25=21,J25,0)</f>
        <v>0</v>
      </c>
      <c r="AN25" s="90">
        <v>21</v>
      </c>
      <c r="AO25" s="90">
        <f>G25*1</f>
        <v>0</v>
      </c>
      <c r="AP25" s="90">
        <f>G25*(1-1)</f>
        <v>0</v>
      </c>
      <c r="AQ25" s="92" t="s">
        <v>69</v>
      </c>
      <c r="AV25" s="90">
        <f>AW25+AX25</f>
        <v>0</v>
      </c>
      <c r="AW25" s="90">
        <f>F25*AO25</f>
        <v>0</v>
      </c>
      <c r="AX25" s="90">
        <f>F25*AP25</f>
        <v>0</v>
      </c>
      <c r="AY25" s="92" t="s">
        <v>70</v>
      </c>
      <c r="AZ25" s="92" t="s">
        <v>71</v>
      </c>
      <c r="BA25" s="70" t="s">
        <v>57</v>
      </c>
      <c r="BC25" s="90">
        <f>AW25+AX25</f>
        <v>0</v>
      </c>
      <c r="BD25" s="90">
        <f>G25/(100-BE25)*100</f>
        <v>0</v>
      </c>
      <c r="BE25" s="90">
        <v>0</v>
      </c>
      <c r="BF25" s="90">
        <f>29</f>
        <v>29</v>
      </c>
      <c r="BH25" s="90">
        <f>F25*AO25</f>
        <v>0</v>
      </c>
      <c r="BI25" s="90">
        <f>F25*AP25</f>
        <v>0</v>
      </c>
      <c r="BJ25" s="90">
        <f>F25*G25</f>
        <v>0</v>
      </c>
      <c r="BK25" s="90"/>
      <c r="BL25" s="90">
        <v>712</v>
      </c>
      <c r="BW25" s="90">
        <v>21</v>
      </c>
      <c r="BX25" s="93" t="s">
        <v>88</v>
      </c>
    </row>
    <row r="26" spans="1:11" ht="15">
      <c r="A26" s="94"/>
      <c r="C26" s="95" t="s">
        <v>90</v>
      </c>
      <c r="D26" s="95" t="s">
        <v>49</v>
      </c>
      <c r="F26" s="96">
        <v>870.19223</v>
      </c>
      <c r="K26" s="97"/>
    </row>
    <row r="27" spans="1:76" ht="15">
      <c r="A27" s="88" t="s">
        <v>91</v>
      </c>
      <c r="B27" s="89" t="s">
        <v>76</v>
      </c>
      <c r="C27" s="59" t="s">
        <v>92</v>
      </c>
      <c r="D27" s="56"/>
      <c r="E27" s="89" t="s">
        <v>78</v>
      </c>
      <c r="F27" s="90">
        <v>157.571</v>
      </c>
      <c r="G27" s="281"/>
      <c r="H27" s="90">
        <f>F27*AO27</f>
        <v>0</v>
      </c>
      <c r="I27" s="90">
        <f>F27*AP27</f>
        <v>0</v>
      </c>
      <c r="J27" s="90">
        <f>F27*G27</f>
        <v>0</v>
      </c>
      <c r="K27" s="91" t="s">
        <v>79</v>
      </c>
      <c r="Z27" s="90">
        <f>IF(AQ27="5",BJ27,0)</f>
        <v>0</v>
      </c>
      <c r="AB27" s="90">
        <f>IF(AQ27="1",BH27,0)</f>
        <v>0</v>
      </c>
      <c r="AC27" s="90">
        <f>IF(AQ27="1",BI27,0)</f>
        <v>0</v>
      </c>
      <c r="AD27" s="90">
        <f>IF(AQ27="7",BH27,0)</f>
        <v>0</v>
      </c>
      <c r="AE27" s="90">
        <f>IF(AQ27="7",BI27,0)</f>
        <v>0</v>
      </c>
      <c r="AF27" s="90">
        <f>IF(AQ27="2",BH27,0)</f>
        <v>0</v>
      </c>
      <c r="AG27" s="90">
        <f>IF(AQ27="2",BI27,0)</f>
        <v>0</v>
      </c>
      <c r="AH27" s="90">
        <f>IF(AQ27="0",BJ27,0)</f>
        <v>0</v>
      </c>
      <c r="AI27" s="70" t="s">
        <v>49</v>
      </c>
      <c r="AJ27" s="90">
        <f>IF(AN27=0,J27,0)</f>
        <v>0</v>
      </c>
      <c r="AK27" s="90">
        <f>IF(AN27=12,J27,0)</f>
        <v>0</v>
      </c>
      <c r="AL27" s="90">
        <f>IF(AN27=21,J27,0)</f>
        <v>0</v>
      </c>
      <c r="AN27" s="90">
        <v>21</v>
      </c>
      <c r="AO27" s="90">
        <f>G27*0</f>
        <v>0</v>
      </c>
      <c r="AP27" s="90">
        <f>G27*(1-0)</f>
        <v>0</v>
      </c>
      <c r="AQ27" s="92" t="s">
        <v>69</v>
      </c>
      <c r="AV27" s="90">
        <f>AW27+AX27</f>
        <v>0</v>
      </c>
      <c r="AW27" s="90">
        <f>F27*AO27</f>
        <v>0</v>
      </c>
      <c r="AX27" s="90">
        <f>F27*AP27</f>
        <v>0</v>
      </c>
      <c r="AY27" s="92" t="s">
        <v>70</v>
      </c>
      <c r="AZ27" s="92" t="s">
        <v>71</v>
      </c>
      <c r="BA27" s="70" t="s">
        <v>57</v>
      </c>
      <c r="BC27" s="90">
        <f>AW27+AX27</f>
        <v>0</v>
      </c>
      <c r="BD27" s="90">
        <f>G27/(100-BE27)*100</f>
        <v>0</v>
      </c>
      <c r="BE27" s="90">
        <v>0</v>
      </c>
      <c r="BF27" s="90">
        <f>31</f>
        <v>31</v>
      </c>
      <c r="BH27" s="90">
        <f>F27*AO27</f>
        <v>0</v>
      </c>
      <c r="BI27" s="90">
        <f>F27*AP27</f>
        <v>0</v>
      </c>
      <c r="BJ27" s="90">
        <f>F27*G27</f>
        <v>0</v>
      </c>
      <c r="BK27" s="90"/>
      <c r="BL27" s="90">
        <v>712</v>
      </c>
      <c r="BW27" s="90">
        <v>21</v>
      </c>
      <c r="BX27" s="93" t="s">
        <v>92</v>
      </c>
    </row>
    <row r="28" spans="1:11" ht="15">
      <c r="A28" s="94"/>
      <c r="C28" s="95" t="s">
        <v>93</v>
      </c>
      <c r="D28" s="95" t="s">
        <v>49</v>
      </c>
      <c r="F28" s="96">
        <v>74.5</v>
      </c>
      <c r="K28" s="97"/>
    </row>
    <row r="29" spans="1:11" ht="15">
      <c r="A29" s="94"/>
      <c r="C29" s="95" t="s">
        <v>94</v>
      </c>
      <c r="D29" s="95" t="s">
        <v>49</v>
      </c>
      <c r="F29" s="96">
        <v>46</v>
      </c>
      <c r="K29" s="97"/>
    </row>
    <row r="30" spans="1:11" ht="15">
      <c r="A30" s="94"/>
      <c r="C30" s="95" t="s">
        <v>95</v>
      </c>
      <c r="D30" s="95" t="s">
        <v>49</v>
      </c>
      <c r="F30" s="96">
        <v>37.071</v>
      </c>
      <c r="K30" s="97"/>
    </row>
    <row r="31" spans="1:76" ht="15">
      <c r="A31" s="88" t="s">
        <v>69</v>
      </c>
      <c r="B31" s="89" t="s">
        <v>96</v>
      </c>
      <c r="C31" s="59" t="s">
        <v>97</v>
      </c>
      <c r="D31" s="56"/>
      <c r="E31" s="89" t="s">
        <v>89</v>
      </c>
      <c r="F31" s="90">
        <v>90.5625</v>
      </c>
      <c r="G31" s="281"/>
      <c r="H31" s="90">
        <f>F31*AO31</f>
        <v>0</v>
      </c>
      <c r="I31" s="90">
        <f>F31*AP31</f>
        <v>0</v>
      </c>
      <c r="J31" s="90">
        <f>F31*G31</f>
        <v>0</v>
      </c>
      <c r="K31" s="91" t="s">
        <v>79</v>
      </c>
      <c r="Z31" s="90">
        <f>IF(AQ31="5",BJ31,0)</f>
        <v>0</v>
      </c>
      <c r="AB31" s="90">
        <f>IF(AQ31="1",BH31,0)</f>
        <v>0</v>
      </c>
      <c r="AC31" s="90">
        <f>IF(AQ31="1",BI31,0)</f>
        <v>0</v>
      </c>
      <c r="AD31" s="90">
        <f>IF(AQ31="7",BH31,0)</f>
        <v>0</v>
      </c>
      <c r="AE31" s="90">
        <f>IF(AQ31="7",BI31,0)</f>
        <v>0</v>
      </c>
      <c r="AF31" s="90">
        <f>IF(AQ31="2",BH31,0)</f>
        <v>0</v>
      </c>
      <c r="AG31" s="90">
        <f>IF(AQ31="2",BI31,0)</f>
        <v>0</v>
      </c>
      <c r="AH31" s="90">
        <f>IF(AQ31="0",BJ31,0)</f>
        <v>0</v>
      </c>
      <c r="AI31" s="70" t="s">
        <v>49</v>
      </c>
      <c r="AJ31" s="90">
        <f>IF(AN31=0,J31,0)</f>
        <v>0</v>
      </c>
      <c r="AK31" s="90">
        <f>IF(AN31=12,J31,0)</f>
        <v>0</v>
      </c>
      <c r="AL31" s="90">
        <f>IF(AN31=21,J31,0)</f>
        <v>0</v>
      </c>
      <c r="AN31" s="90">
        <v>21</v>
      </c>
      <c r="AO31" s="90">
        <f>G31*1</f>
        <v>0</v>
      </c>
      <c r="AP31" s="90">
        <f>G31*(1-1)</f>
        <v>0</v>
      </c>
      <c r="AQ31" s="92" t="s">
        <v>69</v>
      </c>
      <c r="AV31" s="90">
        <f>AW31+AX31</f>
        <v>0</v>
      </c>
      <c r="AW31" s="90">
        <f>F31*AO31</f>
        <v>0</v>
      </c>
      <c r="AX31" s="90">
        <f>F31*AP31</f>
        <v>0</v>
      </c>
      <c r="AY31" s="92" t="s">
        <v>70</v>
      </c>
      <c r="AZ31" s="92" t="s">
        <v>71</v>
      </c>
      <c r="BA31" s="70" t="s">
        <v>57</v>
      </c>
      <c r="BC31" s="90">
        <f>AW31+AX31</f>
        <v>0</v>
      </c>
      <c r="BD31" s="90">
        <f>G31/(100-BE31)*100</f>
        <v>0</v>
      </c>
      <c r="BE31" s="90">
        <v>0</v>
      </c>
      <c r="BF31" s="90">
        <f>35</f>
        <v>35</v>
      </c>
      <c r="BH31" s="90">
        <f>F31*AO31</f>
        <v>0</v>
      </c>
      <c r="BI31" s="90">
        <f>F31*AP31</f>
        <v>0</v>
      </c>
      <c r="BJ31" s="90">
        <f>F31*G31</f>
        <v>0</v>
      </c>
      <c r="BK31" s="90"/>
      <c r="BL31" s="90">
        <v>712</v>
      </c>
      <c r="BW31" s="90">
        <v>21</v>
      </c>
      <c r="BX31" s="93" t="s">
        <v>97</v>
      </c>
    </row>
    <row r="32" spans="1:11" ht="15">
      <c r="A32" s="94"/>
      <c r="C32" s="95" t="s">
        <v>98</v>
      </c>
      <c r="D32" s="95" t="s">
        <v>49</v>
      </c>
      <c r="F32" s="96">
        <v>90.5625</v>
      </c>
      <c r="K32" s="97"/>
    </row>
    <row r="33" spans="1:76" ht="15">
      <c r="A33" s="88" t="s">
        <v>99</v>
      </c>
      <c r="B33" s="89" t="s">
        <v>100</v>
      </c>
      <c r="C33" s="59" t="s">
        <v>101</v>
      </c>
      <c r="D33" s="56"/>
      <c r="E33" s="89" t="s">
        <v>78</v>
      </c>
      <c r="F33" s="90">
        <v>157.5</v>
      </c>
      <c r="G33" s="281"/>
      <c r="H33" s="90">
        <f>F33*AO33</f>
        <v>0</v>
      </c>
      <c r="I33" s="90">
        <f>F33*AP33</f>
        <v>0</v>
      </c>
      <c r="J33" s="90">
        <f>F33*G33</f>
        <v>0</v>
      </c>
      <c r="K33" s="91" t="s">
        <v>79</v>
      </c>
      <c r="Z33" s="90">
        <f>IF(AQ33="5",BJ33,0)</f>
        <v>0</v>
      </c>
      <c r="AB33" s="90">
        <f>IF(AQ33="1",BH33,0)</f>
        <v>0</v>
      </c>
      <c r="AC33" s="90">
        <f>IF(AQ33="1",BI33,0)</f>
        <v>0</v>
      </c>
      <c r="AD33" s="90">
        <f>IF(AQ33="7",BH33,0)</f>
        <v>0</v>
      </c>
      <c r="AE33" s="90">
        <f>IF(AQ33="7",BI33,0)</f>
        <v>0</v>
      </c>
      <c r="AF33" s="90">
        <f>IF(AQ33="2",BH33,0)</f>
        <v>0</v>
      </c>
      <c r="AG33" s="90">
        <f>IF(AQ33="2",BI33,0)</f>
        <v>0</v>
      </c>
      <c r="AH33" s="90">
        <f>IF(AQ33="0",BJ33,0)</f>
        <v>0</v>
      </c>
      <c r="AI33" s="70" t="s">
        <v>49</v>
      </c>
      <c r="AJ33" s="90">
        <f>IF(AN33=0,J33,0)</f>
        <v>0</v>
      </c>
      <c r="AK33" s="90">
        <f>IF(AN33=12,J33,0)</f>
        <v>0</v>
      </c>
      <c r="AL33" s="90">
        <f>IF(AN33=21,J33,0)</f>
        <v>0</v>
      </c>
      <c r="AN33" s="90">
        <v>21</v>
      </c>
      <c r="AO33" s="90">
        <f>G33*0.105447471</f>
        <v>0</v>
      </c>
      <c r="AP33" s="90">
        <f>G33*(1-0.105447471)</f>
        <v>0</v>
      </c>
      <c r="AQ33" s="92" t="s">
        <v>69</v>
      </c>
      <c r="AV33" s="90">
        <f>AW33+AX33</f>
        <v>0</v>
      </c>
      <c r="AW33" s="90">
        <f>F33*AO33</f>
        <v>0</v>
      </c>
      <c r="AX33" s="90">
        <f>F33*AP33</f>
        <v>0</v>
      </c>
      <c r="AY33" s="92" t="s">
        <v>70</v>
      </c>
      <c r="AZ33" s="92" t="s">
        <v>71</v>
      </c>
      <c r="BA33" s="70" t="s">
        <v>57</v>
      </c>
      <c r="BC33" s="90">
        <f>AW33+AX33</f>
        <v>0</v>
      </c>
      <c r="BD33" s="90">
        <f>G33/(100-BE33)*100</f>
        <v>0</v>
      </c>
      <c r="BE33" s="90">
        <v>0</v>
      </c>
      <c r="BF33" s="90">
        <f>37</f>
        <v>37</v>
      </c>
      <c r="BH33" s="90">
        <f>F33*AO33</f>
        <v>0</v>
      </c>
      <c r="BI33" s="90">
        <f>F33*AP33</f>
        <v>0</v>
      </c>
      <c r="BJ33" s="90">
        <f>F33*G33</f>
        <v>0</v>
      </c>
      <c r="BK33" s="90"/>
      <c r="BL33" s="90">
        <v>712</v>
      </c>
      <c r="BW33" s="90">
        <v>21</v>
      </c>
      <c r="BX33" s="93" t="s">
        <v>101</v>
      </c>
    </row>
    <row r="34" spans="1:11" ht="15">
      <c r="A34" s="94"/>
      <c r="C34" s="95" t="s">
        <v>102</v>
      </c>
      <c r="D34" s="95" t="s">
        <v>49</v>
      </c>
      <c r="F34" s="96">
        <v>157.5</v>
      </c>
      <c r="K34" s="97"/>
    </row>
    <row r="35" spans="1:76" ht="15">
      <c r="A35" s="88" t="s">
        <v>103</v>
      </c>
      <c r="B35" s="89" t="s">
        <v>104</v>
      </c>
      <c r="C35" s="59" t="s">
        <v>105</v>
      </c>
      <c r="D35" s="56"/>
      <c r="E35" s="89" t="s">
        <v>78</v>
      </c>
      <c r="F35" s="90">
        <v>181.125</v>
      </c>
      <c r="G35" s="281"/>
      <c r="H35" s="90">
        <f>F35*AO35</f>
        <v>0</v>
      </c>
      <c r="I35" s="90">
        <f>F35*AP35</f>
        <v>0</v>
      </c>
      <c r="J35" s="90">
        <f>F35*G35</f>
        <v>0</v>
      </c>
      <c r="K35" s="91" t="s">
        <v>79</v>
      </c>
      <c r="Z35" s="90">
        <f>IF(AQ35="5",BJ35,0)</f>
        <v>0</v>
      </c>
      <c r="AB35" s="90">
        <f>IF(AQ35="1",BH35,0)</f>
        <v>0</v>
      </c>
      <c r="AC35" s="90">
        <f>IF(AQ35="1",BI35,0)</f>
        <v>0</v>
      </c>
      <c r="AD35" s="90">
        <f>IF(AQ35="7",BH35,0)</f>
        <v>0</v>
      </c>
      <c r="AE35" s="90">
        <f>IF(AQ35="7",BI35,0)</f>
        <v>0</v>
      </c>
      <c r="AF35" s="90">
        <f>IF(AQ35="2",BH35,0)</f>
        <v>0</v>
      </c>
      <c r="AG35" s="90">
        <f>IF(AQ35="2",BI35,0)</f>
        <v>0</v>
      </c>
      <c r="AH35" s="90">
        <f>IF(AQ35="0",BJ35,0)</f>
        <v>0</v>
      </c>
      <c r="AI35" s="70" t="s">
        <v>49</v>
      </c>
      <c r="AJ35" s="90">
        <f>IF(AN35=0,J35,0)</f>
        <v>0</v>
      </c>
      <c r="AK35" s="90">
        <f>IF(AN35=12,J35,0)</f>
        <v>0</v>
      </c>
      <c r="AL35" s="90">
        <f>IF(AN35=21,J35,0)</f>
        <v>0</v>
      </c>
      <c r="AN35" s="90">
        <v>21</v>
      </c>
      <c r="AO35" s="90">
        <f>G35*1</f>
        <v>0</v>
      </c>
      <c r="AP35" s="90">
        <f>G35*(1-1)</f>
        <v>0</v>
      </c>
      <c r="AQ35" s="92" t="s">
        <v>69</v>
      </c>
      <c r="AV35" s="90">
        <f>AW35+AX35</f>
        <v>0</v>
      </c>
      <c r="AW35" s="90">
        <f>F35*AO35</f>
        <v>0</v>
      </c>
      <c r="AX35" s="90">
        <f>F35*AP35</f>
        <v>0</v>
      </c>
      <c r="AY35" s="92" t="s">
        <v>70</v>
      </c>
      <c r="AZ35" s="92" t="s">
        <v>71</v>
      </c>
      <c r="BA35" s="70" t="s">
        <v>57</v>
      </c>
      <c r="BC35" s="90">
        <f>AW35+AX35</f>
        <v>0</v>
      </c>
      <c r="BD35" s="90">
        <f>G35/(100-BE35)*100</f>
        <v>0</v>
      </c>
      <c r="BE35" s="90">
        <v>0</v>
      </c>
      <c r="BF35" s="90">
        <f>39</f>
        <v>39</v>
      </c>
      <c r="BH35" s="90">
        <f>F35*AO35</f>
        <v>0</v>
      </c>
      <c r="BI35" s="90">
        <f>F35*AP35</f>
        <v>0</v>
      </c>
      <c r="BJ35" s="90">
        <f>F35*G35</f>
        <v>0</v>
      </c>
      <c r="BK35" s="90"/>
      <c r="BL35" s="90">
        <v>712</v>
      </c>
      <c r="BW35" s="90">
        <v>21</v>
      </c>
      <c r="BX35" s="93" t="s">
        <v>105</v>
      </c>
    </row>
    <row r="36" spans="1:11" ht="15">
      <c r="A36" s="94"/>
      <c r="C36" s="95" t="s">
        <v>106</v>
      </c>
      <c r="D36" s="95" t="s">
        <v>49</v>
      </c>
      <c r="F36" s="96">
        <v>181.125</v>
      </c>
      <c r="K36" s="97"/>
    </row>
    <row r="37" spans="1:76" ht="15">
      <c r="A37" s="88" t="s">
        <v>107</v>
      </c>
      <c r="B37" s="89" t="s">
        <v>108</v>
      </c>
      <c r="C37" s="59" t="s">
        <v>109</v>
      </c>
      <c r="D37" s="56"/>
      <c r="E37" s="89" t="s">
        <v>78</v>
      </c>
      <c r="F37" s="90">
        <v>315</v>
      </c>
      <c r="G37" s="281"/>
      <c r="H37" s="90">
        <f>F37*AO37</f>
        <v>0</v>
      </c>
      <c r="I37" s="90">
        <f>F37*AP37</f>
        <v>0</v>
      </c>
      <c r="J37" s="90">
        <f>F37*G37</f>
        <v>0</v>
      </c>
      <c r="K37" s="91" t="s">
        <v>79</v>
      </c>
      <c r="Z37" s="90">
        <f>IF(AQ37="5",BJ37,0)</f>
        <v>0</v>
      </c>
      <c r="AB37" s="90">
        <f>IF(AQ37="1",BH37,0)</f>
        <v>0</v>
      </c>
      <c r="AC37" s="90">
        <f>IF(AQ37="1",BI37,0)</f>
        <v>0</v>
      </c>
      <c r="AD37" s="90">
        <f>IF(AQ37="7",BH37,0)</f>
        <v>0</v>
      </c>
      <c r="AE37" s="90">
        <f>IF(AQ37="7",BI37,0)</f>
        <v>0</v>
      </c>
      <c r="AF37" s="90">
        <f>IF(AQ37="2",BH37,0)</f>
        <v>0</v>
      </c>
      <c r="AG37" s="90">
        <f>IF(AQ37="2",BI37,0)</f>
        <v>0</v>
      </c>
      <c r="AH37" s="90">
        <f>IF(AQ37="0",BJ37,0)</f>
        <v>0</v>
      </c>
      <c r="AI37" s="70" t="s">
        <v>49</v>
      </c>
      <c r="AJ37" s="90">
        <f>IF(AN37=0,J37,0)</f>
        <v>0</v>
      </c>
      <c r="AK37" s="90">
        <f>IF(AN37=12,J37,0)</f>
        <v>0</v>
      </c>
      <c r="AL37" s="90">
        <f>IF(AN37=21,J37,0)</f>
        <v>0</v>
      </c>
      <c r="AN37" s="90">
        <v>21</v>
      </c>
      <c r="AO37" s="90">
        <f>G37*0</f>
        <v>0</v>
      </c>
      <c r="AP37" s="90">
        <f>G37*(1-0)</f>
        <v>0</v>
      </c>
      <c r="AQ37" s="92" t="s">
        <v>69</v>
      </c>
      <c r="AV37" s="90">
        <f>AW37+AX37</f>
        <v>0</v>
      </c>
      <c r="AW37" s="90">
        <f>F37*AO37</f>
        <v>0</v>
      </c>
      <c r="AX37" s="90">
        <f>F37*AP37</f>
        <v>0</v>
      </c>
      <c r="AY37" s="92" t="s">
        <v>70</v>
      </c>
      <c r="AZ37" s="92" t="s">
        <v>71</v>
      </c>
      <c r="BA37" s="70" t="s">
        <v>57</v>
      </c>
      <c r="BC37" s="90">
        <f>AW37+AX37</f>
        <v>0</v>
      </c>
      <c r="BD37" s="90">
        <f>G37/(100-BE37)*100</f>
        <v>0</v>
      </c>
      <c r="BE37" s="90">
        <v>0</v>
      </c>
      <c r="BF37" s="90">
        <f>41</f>
        <v>41</v>
      </c>
      <c r="BH37" s="90">
        <f>F37*AO37</f>
        <v>0</v>
      </c>
      <c r="BI37" s="90">
        <f>F37*AP37</f>
        <v>0</v>
      </c>
      <c r="BJ37" s="90">
        <f>F37*G37</f>
        <v>0</v>
      </c>
      <c r="BK37" s="90"/>
      <c r="BL37" s="90">
        <v>712</v>
      </c>
      <c r="BW37" s="90">
        <v>21</v>
      </c>
      <c r="BX37" s="93" t="s">
        <v>109</v>
      </c>
    </row>
    <row r="38" spans="1:11" ht="15">
      <c r="A38" s="94"/>
      <c r="C38" s="95" t="s">
        <v>110</v>
      </c>
      <c r="D38" s="95" t="s">
        <v>49</v>
      </c>
      <c r="F38" s="96">
        <v>315</v>
      </c>
      <c r="K38" s="97"/>
    </row>
    <row r="39" spans="1:76" ht="15">
      <c r="A39" s="88" t="s">
        <v>111</v>
      </c>
      <c r="B39" s="89" t="s">
        <v>112</v>
      </c>
      <c r="C39" s="59" t="s">
        <v>113</v>
      </c>
      <c r="D39" s="56"/>
      <c r="E39" s="89" t="s">
        <v>78</v>
      </c>
      <c r="F39" s="90">
        <v>362.25</v>
      </c>
      <c r="G39" s="281"/>
      <c r="H39" s="90">
        <f>F39*AO39</f>
        <v>0</v>
      </c>
      <c r="I39" s="90">
        <f>F39*AP39</f>
        <v>0</v>
      </c>
      <c r="J39" s="90">
        <f>F39*G39</f>
        <v>0</v>
      </c>
      <c r="K39" s="91" t="s">
        <v>79</v>
      </c>
      <c r="Z39" s="90">
        <f>IF(AQ39="5",BJ39,0)</f>
        <v>0</v>
      </c>
      <c r="AB39" s="90">
        <f>IF(AQ39="1",BH39,0)</f>
        <v>0</v>
      </c>
      <c r="AC39" s="90">
        <f>IF(AQ39="1",BI39,0)</f>
        <v>0</v>
      </c>
      <c r="AD39" s="90">
        <f>IF(AQ39="7",BH39,0)</f>
        <v>0</v>
      </c>
      <c r="AE39" s="90">
        <f>IF(AQ39="7",BI39,0)</f>
        <v>0</v>
      </c>
      <c r="AF39" s="90">
        <f>IF(AQ39="2",BH39,0)</f>
        <v>0</v>
      </c>
      <c r="AG39" s="90">
        <f>IF(AQ39="2",BI39,0)</f>
        <v>0</v>
      </c>
      <c r="AH39" s="90">
        <f>IF(AQ39="0",BJ39,0)</f>
        <v>0</v>
      </c>
      <c r="AI39" s="70" t="s">
        <v>49</v>
      </c>
      <c r="AJ39" s="90">
        <f>IF(AN39=0,J39,0)</f>
        <v>0</v>
      </c>
      <c r="AK39" s="90">
        <f>IF(AN39=12,J39,0)</f>
        <v>0</v>
      </c>
      <c r="AL39" s="90">
        <f>IF(AN39=21,J39,0)</f>
        <v>0</v>
      </c>
      <c r="AN39" s="90">
        <v>21</v>
      </c>
      <c r="AO39" s="90">
        <f>G39*1</f>
        <v>0</v>
      </c>
      <c r="AP39" s="90">
        <f>G39*(1-1)</f>
        <v>0</v>
      </c>
      <c r="AQ39" s="92" t="s">
        <v>69</v>
      </c>
      <c r="AV39" s="90">
        <f>AW39+AX39</f>
        <v>0</v>
      </c>
      <c r="AW39" s="90">
        <f>F39*AO39</f>
        <v>0</v>
      </c>
      <c r="AX39" s="90">
        <f>F39*AP39</f>
        <v>0</v>
      </c>
      <c r="AY39" s="92" t="s">
        <v>70</v>
      </c>
      <c r="AZ39" s="92" t="s">
        <v>71</v>
      </c>
      <c r="BA39" s="70" t="s">
        <v>57</v>
      </c>
      <c r="BC39" s="90">
        <f>AW39+AX39</f>
        <v>0</v>
      </c>
      <c r="BD39" s="90">
        <f>G39/(100-BE39)*100</f>
        <v>0</v>
      </c>
      <c r="BE39" s="90">
        <v>0</v>
      </c>
      <c r="BF39" s="90">
        <f>43</f>
        <v>43</v>
      </c>
      <c r="BH39" s="90">
        <f>F39*AO39</f>
        <v>0</v>
      </c>
      <c r="BI39" s="90">
        <f>F39*AP39</f>
        <v>0</v>
      </c>
      <c r="BJ39" s="90">
        <f>F39*G39</f>
        <v>0</v>
      </c>
      <c r="BK39" s="90"/>
      <c r="BL39" s="90">
        <v>712</v>
      </c>
      <c r="BW39" s="90">
        <v>21</v>
      </c>
      <c r="BX39" s="93" t="s">
        <v>113</v>
      </c>
    </row>
    <row r="40" spans="1:11" ht="15">
      <c r="A40" s="94"/>
      <c r="C40" s="95" t="s">
        <v>114</v>
      </c>
      <c r="D40" s="95" t="s">
        <v>49</v>
      </c>
      <c r="F40" s="96">
        <v>362.25</v>
      </c>
      <c r="K40" s="97"/>
    </row>
    <row r="41" spans="1:76" ht="15">
      <c r="A41" s="88" t="s">
        <v>115</v>
      </c>
      <c r="B41" s="89" t="s">
        <v>100</v>
      </c>
      <c r="C41" s="59" t="s">
        <v>101</v>
      </c>
      <c r="D41" s="56"/>
      <c r="E41" s="89" t="s">
        <v>78</v>
      </c>
      <c r="F41" s="90">
        <v>157.5</v>
      </c>
      <c r="G41" s="281"/>
      <c r="H41" s="90">
        <f>F41*AO41</f>
        <v>0</v>
      </c>
      <c r="I41" s="90">
        <f>F41*AP41</f>
        <v>0</v>
      </c>
      <c r="J41" s="90">
        <f>F41*G41</f>
        <v>0</v>
      </c>
      <c r="K41" s="91" t="s">
        <v>79</v>
      </c>
      <c r="Z41" s="90">
        <f>IF(AQ41="5",BJ41,0)</f>
        <v>0</v>
      </c>
      <c r="AB41" s="90">
        <f>IF(AQ41="1",BH41,0)</f>
        <v>0</v>
      </c>
      <c r="AC41" s="90">
        <f>IF(AQ41="1",BI41,0)</f>
        <v>0</v>
      </c>
      <c r="AD41" s="90">
        <f>IF(AQ41="7",BH41,0)</f>
        <v>0</v>
      </c>
      <c r="AE41" s="90">
        <f>IF(AQ41="7",BI41,0)</f>
        <v>0</v>
      </c>
      <c r="AF41" s="90">
        <f>IF(AQ41="2",BH41,0)</f>
        <v>0</v>
      </c>
      <c r="AG41" s="90">
        <f>IF(AQ41="2",BI41,0)</f>
        <v>0</v>
      </c>
      <c r="AH41" s="90">
        <f>IF(AQ41="0",BJ41,0)</f>
        <v>0</v>
      </c>
      <c r="AI41" s="70" t="s">
        <v>49</v>
      </c>
      <c r="AJ41" s="90">
        <f>IF(AN41=0,J41,0)</f>
        <v>0</v>
      </c>
      <c r="AK41" s="90">
        <f>IF(AN41=12,J41,0)</f>
        <v>0</v>
      </c>
      <c r="AL41" s="90">
        <f>IF(AN41=21,J41,0)</f>
        <v>0</v>
      </c>
      <c r="AN41" s="90">
        <v>21</v>
      </c>
      <c r="AO41" s="90">
        <f>G41*0.105447471</f>
        <v>0</v>
      </c>
      <c r="AP41" s="90">
        <f>G41*(1-0.105447471)</f>
        <v>0</v>
      </c>
      <c r="AQ41" s="92" t="s">
        <v>69</v>
      </c>
      <c r="AV41" s="90">
        <f>AW41+AX41</f>
        <v>0</v>
      </c>
      <c r="AW41" s="90">
        <f>F41*AO41</f>
        <v>0</v>
      </c>
      <c r="AX41" s="90">
        <f>F41*AP41</f>
        <v>0</v>
      </c>
      <c r="AY41" s="92" t="s">
        <v>70</v>
      </c>
      <c r="AZ41" s="92" t="s">
        <v>71</v>
      </c>
      <c r="BA41" s="70" t="s">
        <v>57</v>
      </c>
      <c r="BC41" s="90">
        <f>AW41+AX41</f>
        <v>0</v>
      </c>
      <c r="BD41" s="90">
        <f>G41/(100-BE41)*100</f>
        <v>0</v>
      </c>
      <c r="BE41" s="90">
        <v>0</v>
      </c>
      <c r="BF41" s="90">
        <f>45</f>
        <v>45</v>
      </c>
      <c r="BH41" s="90">
        <f>F41*AO41</f>
        <v>0</v>
      </c>
      <c r="BI41" s="90">
        <f>F41*AP41</f>
        <v>0</v>
      </c>
      <c r="BJ41" s="90">
        <f>F41*G41</f>
        <v>0</v>
      </c>
      <c r="BK41" s="90"/>
      <c r="BL41" s="90">
        <v>712</v>
      </c>
      <c r="BW41" s="90">
        <v>21</v>
      </c>
      <c r="BX41" s="93" t="s">
        <v>101</v>
      </c>
    </row>
    <row r="42" spans="1:11" ht="15">
      <c r="A42" s="94"/>
      <c r="C42" s="95" t="s">
        <v>116</v>
      </c>
      <c r="D42" s="95" t="s">
        <v>49</v>
      </c>
      <c r="F42" s="96">
        <v>157.5</v>
      </c>
      <c r="K42" s="97"/>
    </row>
    <row r="43" spans="1:76" ht="15">
      <c r="A43" s="88" t="s">
        <v>117</v>
      </c>
      <c r="B43" s="89" t="s">
        <v>118</v>
      </c>
      <c r="C43" s="59" t="s">
        <v>119</v>
      </c>
      <c r="D43" s="56"/>
      <c r="E43" s="89" t="s">
        <v>78</v>
      </c>
      <c r="F43" s="90">
        <v>181.125</v>
      </c>
      <c r="G43" s="281"/>
      <c r="H43" s="90">
        <f>F43*AO43</f>
        <v>0</v>
      </c>
      <c r="I43" s="90">
        <f>F43*AP43</f>
        <v>0</v>
      </c>
      <c r="J43" s="90">
        <f>F43*G43</f>
        <v>0</v>
      </c>
      <c r="K43" s="91" t="s">
        <v>49</v>
      </c>
      <c r="Z43" s="90">
        <f>IF(AQ43="5",BJ43,0)</f>
        <v>0</v>
      </c>
      <c r="AB43" s="90">
        <f>IF(AQ43="1",BH43,0)</f>
        <v>0</v>
      </c>
      <c r="AC43" s="90">
        <f>IF(AQ43="1",BI43,0)</f>
        <v>0</v>
      </c>
      <c r="AD43" s="90">
        <f>IF(AQ43="7",BH43,0)</f>
        <v>0</v>
      </c>
      <c r="AE43" s="90">
        <f>IF(AQ43="7",BI43,0)</f>
        <v>0</v>
      </c>
      <c r="AF43" s="90">
        <f>IF(AQ43="2",BH43,0)</f>
        <v>0</v>
      </c>
      <c r="AG43" s="90">
        <f>IF(AQ43="2",BI43,0)</f>
        <v>0</v>
      </c>
      <c r="AH43" s="90">
        <f>IF(AQ43="0",BJ43,0)</f>
        <v>0</v>
      </c>
      <c r="AI43" s="70" t="s">
        <v>49</v>
      </c>
      <c r="AJ43" s="90">
        <f>IF(AN43=0,J43,0)</f>
        <v>0</v>
      </c>
      <c r="AK43" s="90">
        <f>IF(AN43=12,J43,0)</f>
        <v>0</v>
      </c>
      <c r="AL43" s="90">
        <f>IF(AN43=21,J43,0)</f>
        <v>0</v>
      </c>
      <c r="AN43" s="90">
        <v>21</v>
      </c>
      <c r="AO43" s="90">
        <f>G43*1</f>
        <v>0</v>
      </c>
      <c r="AP43" s="90">
        <f>G43*(1-1)</f>
        <v>0</v>
      </c>
      <c r="AQ43" s="92" t="s">
        <v>69</v>
      </c>
      <c r="AV43" s="90">
        <f>AW43+AX43</f>
        <v>0</v>
      </c>
      <c r="AW43" s="90">
        <f>F43*AO43</f>
        <v>0</v>
      </c>
      <c r="AX43" s="90">
        <f>F43*AP43</f>
        <v>0</v>
      </c>
      <c r="AY43" s="92" t="s">
        <v>70</v>
      </c>
      <c r="AZ43" s="92" t="s">
        <v>71</v>
      </c>
      <c r="BA43" s="70" t="s">
        <v>57</v>
      </c>
      <c r="BC43" s="90">
        <f>AW43+AX43</f>
        <v>0</v>
      </c>
      <c r="BD43" s="90">
        <f>G43/(100-BE43)*100</f>
        <v>0</v>
      </c>
      <c r="BE43" s="90">
        <v>0</v>
      </c>
      <c r="BF43" s="90">
        <f>47</f>
        <v>47</v>
      </c>
      <c r="BH43" s="90">
        <f>F43*AO43</f>
        <v>0</v>
      </c>
      <c r="BI43" s="90">
        <f>F43*AP43</f>
        <v>0</v>
      </c>
      <c r="BJ43" s="90">
        <f>F43*G43</f>
        <v>0</v>
      </c>
      <c r="BK43" s="90"/>
      <c r="BL43" s="90">
        <v>712</v>
      </c>
      <c r="BW43" s="90">
        <v>21</v>
      </c>
      <c r="BX43" s="93" t="s">
        <v>119</v>
      </c>
    </row>
    <row r="44" spans="1:11" ht="15">
      <c r="A44" s="94"/>
      <c r="C44" s="95" t="s">
        <v>106</v>
      </c>
      <c r="D44" s="95" t="s">
        <v>49</v>
      </c>
      <c r="F44" s="96">
        <v>181.125</v>
      </c>
      <c r="K44" s="97"/>
    </row>
    <row r="45" spans="1:76" ht="15">
      <c r="A45" s="88" t="s">
        <v>120</v>
      </c>
      <c r="B45" s="89" t="s">
        <v>100</v>
      </c>
      <c r="C45" s="59" t="s">
        <v>101</v>
      </c>
      <c r="D45" s="56"/>
      <c r="E45" s="89" t="s">
        <v>78</v>
      </c>
      <c r="F45" s="90">
        <v>157.5</v>
      </c>
      <c r="G45" s="281"/>
      <c r="H45" s="90">
        <f>F45*AO45</f>
        <v>0</v>
      </c>
      <c r="I45" s="90">
        <f>F45*AP45</f>
        <v>0</v>
      </c>
      <c r="J45" s="90">
        <f>F45*G45</f>
        <v>0</v>
      </c>
      <c r="K45" s="91" t="s">
        <v>79</v>
      </c>
      <c r="Z45" s="90">
        <f>IF(AQ45="5",BJ45,0)</f>
        <v>0</v>
      </c>
      <c r="AB45" s="90">
        <f>IF(AQ45="1",BH45,0)</f>
        <v>0</v>
      </c>
      <c r="AC45" s="90">
        <f>IF(AQ45="1",BI45,0)</f>
        <v>0</v>
      </c>
      <c r="AD45" s="90">
        <f>IF(AQ45="7",BH45,0)</f>
        <v>0</v>
      </c>
      <c r="AE45" s="90">
        <f>IF(AQ45="7",BI45,0)</f>
        <v>0</v>
      </c>
      <c r="AF45" s="90">
        <f>IF(AQ45="2",BH45,0)</f>
        <v>0</v>
      </c>
      <c r="AG45" s="90">
        <f>IF(AQ45="2",BI45,0)</f>
        <v>0</v>
      </c>
      <c r="AH45" s="90">
        <f>IF(AQ45="0",BJ45,0)</f>
        <v>0</v>
      </c>
      <c r="AI45" s="70" t="s">
        <v>49</v>
      </c>
      <c r="AJ45" s="90">
        <f>IF(AN45=0,J45,0)</f>
        <v>0</v>
      </c>
      <c r="AK45" s="90">
        <f>IF(AN45=12,J45,0)</f>
        <v>0</v>
      </c>
      <c r="AL45" s="90">
        <f>IF(AN45=21,J45,0)</f>
        <v>0</v>
      </c>
      <c r="AN45" s="90">
        <v>21</v>
      </c>
      <c r="AO45" s="90">
        <f>G45*0.105447471</f>
        <v>0</v>
      </c>
      <c r="AP45" s="90">
        <f>G45*(1-0.105447471)</f>
        <v>0</v>
      </c>
      <c r="AQ45" s="92" t="s">
        <v>69</v>
      </c>
      <c r="AV45" s="90">
        <f>AW45+AX45</f>
        <v>0</v>
      </c>
      <c r="AW45" s="90">
        <f>F45*AO45</f>
        <v>0</v>
      </c>
      <c r="AX45" s="90">
        <f>F45*AP45</f>
        <v>0</v>
      </c>
      <c r="AY45" s="92" t="s">
        <v>70</v>
      </c>
      <c r="AZ45" s="92" t="s">
        <v>71</v>
      </c>
      <c r="BA45" s="70" t="s">
        <v>57</v>
      </c>
      <c r="BC45" s="90">
        <f>AW45+AX45</f>
        <v>0</v>
      </c>
      <c r="BD45" s="90">
        <f>G45/(100-BE45)*100</f>
        <v>0</v>
      </c>
      <c r="BE45" s="90">
        <v>0</v>
      </c>
      <c r="BF45" s="90">
        <f>49</f>
        <v>49</v>
      </c>
      <c r="BH45" s="90">
        <f>F45*AO45</f>
        <v>0</v>
      </c>
      <c r="BI45" s="90">
        <f>F45*AP45</f>
        <v>0</v>
      </c>
      <c r="BJ45" s="90">
        <f>F45*G45</f>
        <v>0</v>
      </c>
      <c r="BK45" s="90"/>
      <c r="BL45" s="90">
        <v>712</v>
      </c>
      <c r="BW45" s="90">
        <v>21</v>
      </c>
      <c r="BX45" s="93" t="s">
        <v>101</v>
      </c>
    </row>
    <row r="46" spans="1:11" ht="15">
      <c r="A46" s="94"/>
      <c r="C46" s="95" t="s">
        <v>116</v>
      </c>
      <c r="D46" s="95" t="s">
        <v>49</v>
      </c>
      <c r="F46" s="96">
        <v>157.5</v>
      </c>
      <c r="K46" s="97"/>
    </row>
    <row r="47" spans="1:76" ht="15">
      <c r="A47" s="88" t="s">
        <v>121</v>
      </c>
      <c r="B47" s="89" t="s">
        <v>122</v>
      </c>
      <c r="C47" s="59" t="s">
        <v>123</v>
      </c>
      <c r="D47" s="56"/>
      <c r="E47" s="89" t="s">
        <v>78</v>
      </c>
      <c r="F47" s="90">
        <v>181.125</v>
      </c>
      <c r="G47" s="281"/>
      <c r="H47" s="90">
        <f>F47*AO47</f>
        <v>0</v>
      </c>
      <c r="I47" s="90">
        <f>F47*AP47</f>
        <v>0</v>
      </c>
      <c r="J47" s="90">
        <f>F47*G47</f>
        <v>0</v>
      </c>
      <c r="K47" s="91" t="s">
        <v>79</v>
      </c>
      <c r="Z47" s="90">
        <f>IF(AQ47="5",BJ47,0)</f>
        <v>0</v>
      </c>
      <c r="AB47" s="90">
        <f>IF(AQ47="1",BH47,0)</f>
        <v>0</v>
      </c>
      <c r="AC47" s="90">
        <f>IF(AQ47="1",BI47,0)</f>
        <v>0</v>
      </c>
      <c r="AD47" s="90">
        <f>IF(AQ47="7",BH47,0)</f>
        <v>0</v>
      </c>
      <c r="AE47" s="90">
        <f>IF(AQ47="7",BI47,0)</f>
        <v>0</v>
      </c>
      <c r="AF47" s="90">
        <f>IF(AQ47="2",BH47,0)</f>
        <v>0</v>
      </c>
      <c r="AG47" s="90">
        <f>IF(AQ47="2",BI47,0)</f>
        <v>0</v>
      </c>
      <c r="AH47" s="90">
        <f>IF(AQ47="0",BJ47,0)</f>
        <v>0</v>
      </c>
      <c r="AI47" s="70" t="s">
        <v>49</v>
      </c>
      <c r="AJ47" s="90">
        <f>IF(AN47=0,J47,0)</f>
        <v>0</v>
      </c>
      <c r="AK47" s="90">
        <f>IF(AN47=12,J47,0)</f>
        <v>0</v>
      </c>
      <c r="AL47" s="90">
        <f>IF(AN47=21,J47,0)</f>
        <v>0</v>
      </c>
      <c r="AN47" s="90">
        <v>21</v>
      </c>
      <c r="AO47" s="90">
        <f>G47*1</f>
        <v>0</v>
      </c>
      <c r="AP47" s="90">
        <f>G47*(1-1)</f>
        <v>0</v>
      </c>
      <c r="AQ47" s="92" t="s">
        <v>69</v>
      </c>
      <c r="AV47" s="90">
        <f>AW47+AX47</f>
        <v>0</v>
      </c>
      <c r="AW47" s="90">
        <f>F47*AO47</f>
        <v>0</v>
      </c>
      <c r="AX47" s="90">
        <f>F47*AP47</f>
        <v>0</v>
      </c>
      <c r="AY47" s="92" t="s">
        <v>70</v>
      </c>
      <c r="AZ47" s="92" t="s">
        <v>71</v>
      </c>
      <c r="BA47" s="70" t="s">
        <v>57</v>
      </c>
      <c r="BC47" s="90">
        <f>AW47+AX47</f>
        <v>0</v>
      </c>
      <c r="BD47" s="90">
        <f>G47/(100-BE47)*100</f>
        <v>0</v>
      </c>
      <c r="BE47" s="90">
        <v>0</v>
      </c>
      <c r="BF47" s="90">
        <f>51</f>
        <v>51</v>
      </c>
      <c r="BH47" s="90">
        <f>F47*AO47</f>
        <v>0</v>
      </c>
      <c r="BI47" s="90">
        <f>F47*AP47</f>
        <v>0</v>
      </c>
      <c r="BJ47" s="90">
        <f>F47*G47</f>
        <v>0</v>
      </c>
      <c r="BK47" s="90"/>
      <c r="BL47" s="90">
        <v>712</v>
      </c>
      <c r="BW47" s="90">
        <v>21</v>
      </c>
      <c r="BX47" s="93" t="s">
        <v>123</v>
      </c>
    </row>
    <row r="48" spans="1:11" ht="15">
      <c r="A48" s="94"/>
      <c r="C48" s="95" t="s">
        <v>106</v>
      </c>
      <c r="D48" s="95" t="s">
        <v>49</v>
      </c>
      <c r="F48" s="96">
        <v>181.125</v>
      </c>
      <c r="K48" s="97"/>
    </row>
    <row r="49" spans="1:76" ht="15">
      <c r="A49" s="88" t="s">
        <v>124</v>
      </c>
      <c r="B49" s="89" t="s">
        <v>108</v>
      </c>
      <c r="C49" s="59" t="s">
        <v>125</v>
      </c>
      <c r="D49" s="56"/>
      <c r="E49" s="89" t="s">
        <v>78</v>
      </c>
      <c r="F49" s="90">
        <v>1325</v>
      </c>
      <c r="G49" s="281"/>
      <c r="H49" s="90">
        <f>F49*AO49</f>
        <v>0</v>
      </c>
      <c r="I49" s="90">
        <f>F49*AP49</f>
        <v>0</v>
      </c>
      <c r="J49" s="90">
        <f>F49*G49</f>
        <v>0</v>
      </c>
      <c r="K49" s="91" t="s">
        <v>79</v>
      </c>
      <c r="Z49" s="90">
        <f>IF(AQ49="5",BJ49,0)</f>
        <v>0</v>
      </c>
      <c r="AB49" s="90">
        <f>IF(AQ49="1",BH49,0)</f>
        <v>0</v>
      </c>
      <c r="AC49" s="90">
        <f>IF(AQ49="1",BI49,0)</f>
        <v>0</v>
      </c>
      <c r="AD49" s="90">
        <f>IF(AQ49="7",BH49,0)</f>
        <v>0</v>
      </c>
      <c r="AE49" s="90">
        <f>IF(AQ49="7",BI49,0)</f>
        <v>0</v>
      </c>
      <c r="AF49" s="90">
        <f>IF(AQ49="2",BH49,0)</f>
        <v>0</v>
      </c>
      <c r="AG49" s="90">
        <f>IF(AQ49="2",BI49,0)</f>
        <v>0</v>
      </c>
      <c r="AH49" s="90">
        <f>IF(AQ49="0",BJ49,0)</f>
        <v>0</v>
      </c>
      <c r="AI49" s="70" t="s">
        <v>49</v>
      </c>
      <c r="AJ49" s="90">
        <f>IF(AN49=0,J49,0)</f>
        <v>0</v>
      </c>
      <c r="AK49" s="90">
        <f>IF(AN49=12,J49,0)</f>
        <v>0</v>
      </c>
      <c r="AL49" s="90">
        <f>IF(AN49=21,J49,0)</f>
        <v>0</v>
      </c>
      <c r="AN49" s="90">
        <v>21</v>
      </c>
      <c r="AO49" s="90">
        <f>G49*0</f>
        <v>0</v>
      </c>
      <c r="AP49" s="90">
        <f>G49*(1-0)</f>
        <v>0</v>
      </c>
      <c r="AQ49" s="92" t="s">
        <v>69</v>
      </c>
      <c r="AV49" s="90">
        <f>AW49+AX49</f>
        <v>0</v>
      </c>
      <c r="AW49" s="90">
        <f>F49*AO49</f>
        <v>0</v>
      </c>
      <c r="AX49" s="90">
        <f>F49*AP49</f>
        <v>0</v>
      </c>
      <c r="AY49" s="92" t="s">
        <v>70</v>
      </c>
      <c r="AZ49" s="92" t="s">
        <v>71</v>
      </c>
      <c r="BA49" s="70" t="s">
        <v>57</v>
      </c>
      <c r="BC49" s="90">
        <f>AW49+AX49</f>
        <v>0</v>
      </c>
      <c r="BD49" s="90">
        <f>G49/(100-BE49)*100</f>
        <v>0</v>
      </c>
      <c r="BE49" s="90">
        <v>0</v>
      </c>
      <c r="BF49" s="90">
        <f>53</f>
        <v>53</v>
      </c>
      <c r="BH49" s="90">
        <f>F49*AO49</f>
        <v>0</v>
      </c>
      <c r="BI49" s="90">
        <f>F49*AP49</f>
        <v>0</v>
      </c>
      <c r="BJ49" s="90">
        <f>F49*G49</f>
        <v>0</v>
      </c>
      <c r="BK49" s="90"/>
      <c r="BL49" s="90">
        <v>712</v>
      </c>
      <c r="BW49" s="90">
        <v>21</v>
      </c>
      <c r="BX49" s="93" t="s">
        <v>125</v>
      </c>
    </row>
    <row r="50" spans="1:11" ht="15">
      <c r="A50" s="94"/>
      <c r="C50" s="95" t="s">
        <v>80</v>
      </c>
      <c r="D50" s="95" t="s">
        <v>49</v>
      </c>
      <c r="F50" s="96">
        <v>965</v>
      </c>
      <c r="K50" s="97"/>
    </row>
    <row r="51" spans="1:11" ht="15">
      <c r="A51" s="94"/>
      <c r="C51" s="95" t="s">
        <v>81</v>
      </c>
      <c r="D51" s="95" t="s">
        <v>49</v>
      </c>
      <c r="F51" s="96">
        <v>360</v>
      </c>
      <c r="K51" s="97"/>
    </row>
    <row r="52" spans="1:76" ht="15">
      <c r="A52" s="88" t="s">
        <v>126</v>
      </c>
      <c r="B52" s="89" t="s">
        <v>112</v>
      </c>
      <c r="C52" s="59" t="s">
        <v>113</v>
      </c>
      <c r="D52" s="56"/>
      <c r="E52" s="89" t="s">
        <v>78</v>
      </c>
      <c r="F52" s="90">
        <v>1523.75</v>
      </c>
      <c r="G52" s="281"/>
      <c r="H52" s="90">
        <f>F52*AO52</f>
        <v>0</v>
      </c>
      <c r="I52" s="90">
        <f>F52*AP52</f>
        <v>0</v>
      </c>
      <c r="J52" s="90">
        <f>F52*G52</f>
        <v>0</v>
      </c>
      <c r="K52" s="91" t="s">
        <v>79</v>
      </c>
      <c r="Z52" s="90">
        <f>IF(AQ52="5",BJ52,0)</f>
        <v>0</v>
      </c>
      <c r="AB52" s="90">
        <f>IF(AQ52="1",BH52,0)</f>
        <v>0</v>
      </c>
      <c r="AC52" s="90">
        <f>IF(AQ52="1",BI52,0)</f>
        <v>0</v>
      </c>
      <c r="AD52" s="90">
        <f>IF(AQ52="7",BH52,0)</f>
        <v>0</v>
      </c>
      <c r="AE52" s="90">
        <f>IF(AQ52="7",BI52,0)</f>
        <v>0</v>
      </c>
      <c r="AF52" s="90">
        <f>IF(AQ52="2",BH52,0)</f>
        <v>0</v>
      </c>
      <c r="AG52" s="90">
        <f>IF(AQ52="2",BI52,0)</f>
        <v>0</v>
      </c>
      <c r="AH52" s="90">
        <f>IF(AQ52="0",BJ52,0)</f>
        <v>0</v>
      </c>
      <c r="AI52" s="70" t="s">
        <v>49</v>
      </c>
      <c r="AJ52" s="90">
        <f>IF(AN52=0,J52,0)</f>
        <v>0</v>
      </c>
      <c r="AK52" s="90">
        <f>IF(AN52=12,J52,0)</f>
        <v>0</v>
      </c>
      <c r="AL52" s="90">
        <f>IF(AN52=21,J52,0)</f>
        <v>0</v>
      </c>
      <c r="AN52" s="90">
        <v>21</v>
      </c>
      <c r="AO52" s="90">
        <f>G52*1</f>
        <v>0</v>
      </c>
      <c r="AP52" s="90">
        <f>G52*(1-1)</f>
        <v>0</v>
      </c>
      <c r="AQ52" s="92" t="s">
        <v>69</v>
      </c>
      <c r="AV52" s="90">
        <f>AW52+AX52</f>
        <v>0</v>
      </c>
      <c r="AW52" s="90">
        <f>F52*AO52</f>
        <v>0</v>
      </c>
      <c r="AX52" s="90">
        <f>F52*AP52</f>
        <v>0</v>
      </c>
      <c r="AY52" s="92" t="s">
        <v>70</v>
      </c>
      <c r="AZ52" s="92" t="s">
        <v>71</v>
      </c>
      <c r="BA52" s="70" t="s">
        <v>57</v>
      </c>
      <c r="BC52" s="90">
        <f>AW52+AX52</f>
        <v>0</v>
      </c>
      <c r="BD52" s="90">
        <f>G52/(100-BE52)*100</f>
        <v>0</v>
      </c>
      <c r="BE52" s="90">
        <v>0</v>
      </c>
      <c r="BF52" s="90">
        <f>56</f>
        <v>56</v>
      </c>
      <c r="BH52" s="90">
        <f>F52*AO52</f>
        <v>0</v>
      </c>
      <c r="BI52" s="90">
        <f>F52*AP52</f>
        <v>0</v>
      </c>
      <c r="BJ52" s="90">
        <f>F52*G52</f>
        <v>0</v>
      </c>
      <c r="BK52" s="90"/>
      <c r="BL52" s="90">
        <v>712</v>
      </c>
      <c r="BW52" s="90">
        <v>21</v>
      </c>
      <c r="BX52" s="93" t="s">
        <v>113</v>
      </c>
    </row>
    <row r="53" spans="1:11" ht="15">
      <c r="A53" s="94"/>
      <c r="C53" s="95" t="s">
        <v>127</v>
      </c>
      <c r="D53" s="95" t="s">
        <v>49</v>
      </c>
      <c r="F53" s="96">
        <v>1523.75</v>
      </c>
      <c r="K53" s="97"/>
    </row>
    <row r="54" spans="1:76" ht="15">
      <c r="A54" s="88" t="s">
        <v>128</v>
      </c>
      <c r="B54" s="89" t="s">
        <v>100</v>
      </c>
      <c r="C54" s="59" t="s">
        <v>129</v>
      </c>
      <c r="D54" s="56"/>
      <c r="E54" s="89" t="s">
        <v>78</v>
      </c>
      <c r="F54" s="90">
        <v>965</v>
      </c>
      <c r="G54" s="281"/>
      <c r="H54" s="90">
        <f>F54*AO54</f>
        <v>0</v>
      </c>
      <c r="I54" s="90">
        <f>F54*AP54</f>
        <v>0</v>
      </c>
      <c r="J54" s="90">
        <f>F54*G54</f>
        <v>0</v>
      </c>
      <c r="K54" s="91" t="s">
        <v>79</v>
      </c>
      <c r="Z54" s="90">
        <f>IF(AQ54="5",BJ54,0)</f>
        <v>0</v>
      </c>
      <c r="AB54" s="90">
        <f>IF(AQ54="1",BH54,0)</f>
        <v>0</v>
      </c>
      <c r="AC54" s="90">
        <f>IF(AQ54="1",BI54,0)</f>
        <v>0</v>
      </c>
      <c r="AD54" s="90">
        <f>IF(AQ54="7",BH54,0)</f>
        <v>0</v>
      </c>
      <c r="AE54" s="90">
        <f>IF(AQ54="7",BI54,0)</f>
        <v>0</v>
      </c>
      <c r="AF54" s="90">
        <f>IF(AQ54="2",BH54,0)</f>
        <v>0</v>
      </c>
      <c r="AG54" s="90">
        <f>IF(AQ54="2",BI54,0)</f>
        <v>0</v>
      </c>
      <c r="AH54" s="90">
        <f>IF(AQ54="0",BJ54,0)</f>
        <v>0</v>
      </c>
      <c r="AI54" s="70" t="s">
        <v>49</v>
      </c>
      <c r="AJ54" s="90">
        <f>IF(AN54=0,J54,0)</f>
        <v>0</v>
      </c>
      <c r="AK54" s="90">
        <f>IF(AN54=12,J54,0)</f>
        <v>0</v>
      </c>
      <c r="AL54" s="90">
        <f>IF(AN54=21,J54,0)</f>
        <v>0</v>
      </c>
      <c r="AN54" s="90">
        <v>21</v>
      </c>
      <c r="AO54" s="90">
        <f>G54*0.105447471</f>
        <v>0</v>
      </c>
      <c r="AP54" s="90">
        <f>G54*(1-0.105447471)</f>
        <v>0</v>
      </c>
      <c r="AQ54" s="92" t="s">
        <v>69</v>
      </c>
      <c r="AV54" s="90">
        <f>AW54+AX54</f>
        <v>0</v>
      </c>
      <c r="AW54" s="90">
        <f>F54*AO54</f>
        <v>0</v>
      </c>
      <c r="AX54" s="90">
        <f>F54*AP54</f>
        <v>0</v>
      </c>
      <c r="AY54" s="92" t="s">
        <v>70</v>
      </c>
      <c r="AZ54" s="92" t="s">
        <v>71</v>
      </c>
      <c r="BA54" s="70" t="s">
        <v>57</v>
      </c>
      <c r="BC54" s="90">
        <f>AW54+AX54</f>
        <v>0</v>
      </c>
      <c r="BD54" s="90">
        <f>G54/(100-BE54)*100</f>
        <v>0</v>
      </c>
      <c r="BE54" s="90">
        <v>0</v>
      </c>
      <c r="BF54" s="90">
        <f>58</f>
        <v>58</v>
      </c>
      <c r="BH54" s="90">
        <f>F54*AO54</f>
        <v>0</v>
      </c>
      <c r="BI54" s="90">
        <f>F54*AP54</f>
        <v>0</v>
      </c>
      <c r="BJ54" s="90">
        <f>F54*G54</f>
        <v>0</v>
      </c>
      <c r="BK54" s="90"/>
      <c r="BL54" s="90">
        <v>712</v>
      </c>
      <c r="BW54" s="90">
        <v>21</v>
      </c>
      <c r="BX54" s="93" t="s">
        <v>129</v>
      </c>
    </row>
    <row r="55" spans="1:11" ht="15">
      <c r="A55" s="94"/>
      <c r="C55" s="95" t="s">
        <v>80</v>
      </c>
      <c r="D55" s="95" t="s">
        <v>49</v>
      </c>
      <c r="F55" s="96">
        <v>965</v>
      </c>
      <c r="K55" s="97"/>
    </row>
    <row r="56" spans="1:76" ht="15">
      <c r="A56" s="88" t="s">
        <v>130</v>
      </c>
      <c r="B56" s="89" t="s">
        <v>104</v>
      </c>
      <c r="C56" s="59" t="s">
        <v>105</v>
      </c>
      <c r="D56" s="56"/>
      <c r="E56" s="89" t="s">
        <v>78</v>
      </c>
      <c r="F56" s="90">
        <v>1109.75</v>
      </c>
      <c r="G56" s="281"/>
      <c r="H56" s="90">
        <f>F56*AO56</f>
        <v>0</v>
      </c>
      <c r="I56" s="90">
        <f>F56*AP56</f>
        <v>0</v>
      </c>
      <c r="J56" s="90">
        <f>F56*G56</f>
        <v>0</v>
      </c>
      <c r="K56" s="91" t="s">
        <v>79</v>
      </c>
      <c r="Z56" s="90">
        <f>IF(AQ56="5",BJ56,0)</f>
        <v>0</v>
      </c>
      <c r="AB56" s="90">
        <f>IF(AQ56="1",BH56,0)</f>
        <v>0</v>
      </c>
      <c r="AC56" s="90">
        <f>IF(AQ56="1",BI56,0)</f>
        <v>0</v>
      </c>
      <c r="AD56" s="90">
        <f>IF(AQ56="7",BH56,0)</f>
        <v>0</v>
      </c>
      <c r="AE56" s="90">
        <f>IF(AQ56="7",BI56,0)</f>
        <v>0</v>
      </c>
      <c r="AF56" s="90">
        <f>IF(AQ56="2",BH56,0)</f>
        <v>0</v>
      </c>
      <c r="AG56" s="90">
        <f>IF(AQ56="2",BI56,0)</f>
        <v>0</v>
      </c>
      <c r="AH56" s="90">
        <f>IF(AQ56="0",BJ56,0)</f>
        <v>0</v>
      </c>
      <c r="AI56" s="70" t="s">
        <v>49</v>
      </c>
      <c r="AJ56" s="90">
        <f>IF(AN56=0,J56,0)</f>
        <v>0</v>
      </c>
      <c r="AK56" s="90">
        <f>IF(AN56=12,J56,0)</f>
        <v>0</v>
      </c>
      <c r="AL56" s="90">
        <f>IF(AN56=21,J56,0)</f>
        <v>0</v>
      </c>
      <c r="AN56" s="90">
        <v>21</v>
      </c>
      <c r="AO56" s="90">
        <f>G56*1</f>
        <v>0</v>
      </c>
      <c r="AP56" s="90">
        <f>G56*(1-1)</f>
        <v>0</v>
      </c>
      <c r="AQ56" s="92" t="s">
        <v>69</v>
      </c>
      <c r="AV56" s="90">
        <f>AW56+AX56</f>
        <v>0</v>
      </c>
      <c r="AW56" s="90">
        <f>F56*AO56</f>
        <v>0</v>
      </c>
      <c r="AX56" s="90">
        <f>F56*AP56</f>
        <v>0</v>
      </c>
      <c r="AY56" s="92" t="s">
        <v>70</v>
      </c>
      <c r="AZ56" s="92" t="s">
        <v>71</v>
      </c>
      <c r="BA56" s="70" t="s">
        <v>57</v>
      </c>
      <c r="BC56" s="90">
        <f>AW56+AX56</f>
        <v>0</v>
      </c>
      <c r="BD56" s="90">
        <f>G56/(100-BE56)*100</f>
        <v>0</v>
      </c>
      <c r="BE56" s="90">
        <v>0</v>
      </c>
      <c r="BF56" s="90">
        <f>60</f>
        <v>60</v>
      </c>
      <c r="BH56" s="90">
        <f>F56*AO56</f>
        <v>0</v>
      </c>
      <c r="BI56" s="90">
        <f>F56*AP56</f>
        <v>0</v>
      </c>
      <c r="BJ56" s="90">
        <f>F56*G56</f>
        <v>0</v>
      </c>
      <c r="BK56" s="90"/>
      <c r="BL56" s="90">
        <v>712</v>
      </c>
      <c r="BW56" s="90">
        <v>21</v>
      </c>
      <c r="BX56" s="93" t="s">
        <v>105</v>
      </c>
    </row>
    <row r="57" spans="1:11" ht="15">
      <c r="A57" s="94"/>
      <c r="C57" s="95" t="s">
        <v>131</v>
      </c>
      <c r="D57" s="95" t="s">
        <v>49</v>
      </c>
      <c r="F57" s="96">
        <v>1109.75</v>
      </c>
      <c r="K57" s="97"/>
    </row>
    <row r="58" spans="1:76" ht="15">
      <c r="A58" s="88" t="s">
        <v>132</v>
      </c>
      <c r="B58" s="89" t="s">
        <v>100</v>
      </c>
      <c r="C58" s="59" t="s">
        <v>129</v>
      </c>
      <c r="D58" s="56"/>
      <c r="E58" s="89" t="s">
        <v>78</v>
      </c>
      <c r="F58" s="90">
        <v>965</v>
      </c>
      <c r="G58" s="281"/>
      <c r="H58" s="90">
        <f>F58*AO58</f>
        <v>0</v>
      </c>
      <c r="I58" s="90">
        <f>F58*AP58</f>
        <v>0</v>
      </c>
      <c r="J58" s="90">
        <f>F58*G58</f>
        <v>0</v>
      </c>
      <c r="K58" s="91" t="s">
        <v>79</v>
      </c>
      <c r="Z58" s="90">
        <f>IF(AQ58="5",BJ58,0)</f>
        <v>0</v>
      </c>
      <c r="AB58" s="90">
        <f>IF(AQ58="1",BH58,0)</f>
        <v>0</v>
      </c>
      <c r="AC58" s="90">
        <f>IF(AQ58="1",BI58,0)</f>
        <v>0</v>
      </c>
      <c r="AD58" s="90">
        <f>IF(AQ58="7",BH58,0)</f>
        <v>0</v>
      </c>
      <c r="AE58" s="90">
        <f>IF(AQ58="7",BI58,0)</f>
        <v>0</v>
      </c>
      <c r="AF58" s="90">
        <f>IF(AQ58="2",BH58,0)</f>
        <v>0</v>
      </c>
      <c r="AG58" s="90">
        <f>IF(AQ58="2",BI58,0)</f>
        <v>0</v>
      </c>
      <c r="AH58" s="90">
        <f>IF(AQ58="0",BJ58,0)</f>
        <v>0</v>
      </c>
      <c r="AI58" s="70" t="s">
        <v>49</v>
      </c>
      <c r="AJ58" s="90">
        <f>IF(AN58=0,J58,0)</f>
        <v>0</v>
      </c>
      <c r="AK58" s="90">
        <f>IF(AN58=12,J58,0)</f>
        <v>0</v>
      </c>
      <c r="AL58" s="90">
        <f>IF(AN58=21,J58,0)</f>
        <v>0</v>
      </c>
      <c r="AN58" s="90">
        <v>21</v>
      </c>
      <c r="AO58" s="90">
        <f>G58*0.105447471</f>
        <v>0</v>
      </c>
      <c r="AP58" s="90">
        <f>G58*(1-0.105447471)</f>
        <v>0</v>
      </c>
      <c r="AQ58" s="92" t="s">
        <v>69</v>
      </c>
      <c r="AV58" s="90">
        <f>AW58+AX58</f>
        <v>0</v>
      </c>
      <c r="AW58" s="90">
        <f>F58*AO58</f>
        <v>0</v>
      </c>
      <c r="AX58" s="90">
        <f>F58*AP58</f>
        <v>0</v>
      </c>
      <c r="AY58" s="92" t="s">
        <v>70</v>
      </c>
      <c r="AZ58" s="92" t="s">
        <v>71</v>
      </c>
      <c r="BA58" s="70" t="s">
        <v>57</v>
      </c>
      <c r="BC58" s="90">
        <f>AW58+AX58</f>
        <v>0</v>
      </c>
      <c r="BD58" s="90">
        <f>G58/(100-BE58)*100</f>
        <v>0</v>
      </c>
      <c r="BE58" s="90">
        <v>0</v>
      </c>
      <c r="BF58" s="90">
        <f>62</f>
        <v>62</v>
      </c>
      <c r="BH58" s="90">
        <f>F58*AO58</f>
        <v>0</v>
      </c>
      <c r="BI58" s="90">
        <f>F58*AP58</f>
        <v>0</v>
      </c>
      <c r="BJ58" s="90">
        <f>F58*G58</f>
        <v>0</v>
      </c>
      <c r="BK58" s="90"/>
      <c r="BL58" s="90">
        <v>712</v>
      </c>
      <c r="BW58" s="90">
        <v>21</v>
      </c>
      <c r="BX58" s="93" t="s">
        <v>129</v>
      </c>
    </row>
    <row r="59" spans="1:11" ht="15">
      <c r="A59" s="94"/>
      <c r="C59" s="95" t="s">
        <v>80</v>
      </c>
      <c r="D59" s="95" t="s">
        <v>49</v>
      </c>
      <c r="F59" s="96">
        <v>965</v>
      </c>
      <c r="K59" s="97"/>
    </row>
    <row r="60" spans="1:76" ht="15">
      <c r="A60" s="88" t="s">
        <v>133</v>
      </c>
      <c r="B60" s="89" t="s">
        <v>134</v>
      </c>
      <c r="C60" s="59" t="s">
        <v>135</v>
      </c>
      <c r="D60" s="56"/>
      <c r="E60" s="89" t="s">
        <v>78</v>
      </c>
      <c r="F60" s="90">
        <v>1109.75</v>
      </c>
      <c r="G60" s="281"/>
      <c r="H60" s="90">
        <f>F60*AO60</f>
        <v>0</v>
      </c>
      <c r="I60" s="90">
        <f>F60*AP60</f>
        <v>0</v>
      </c>
      <c r="J60" s="90">
        <f>F60*G60</f>
        <v>0</v>
      </c>
      <c r="K60" s="91" t="s">
        <v>79</v>
      </c>
      <c r="Z60" s="90">
        <f>IF(AQ60="5",BJ60,0)</f>
        <v>0</v>
      </c>
      <c r="AB60" s="90">
        <f>IF(AQ60="1",BH60,0)</f>
        <v>0</v>
      </c>
      <c r="AC60" s="90">
        <f>IF(AQ60="1",BI60,0)</f>
        <v>0</v>
      </c>
      <c r="AD60" s="90">
        <f>IF(AQ60="7",BH60,0)</f>
        <v>0</v>
      </c>
      <c r="AE60" s="90">
        <f>IF(AQ60="7",BI60,0)</f>
        <v>0</v>
      </c>
      <c r="AF60" s="90">
        <f>IF(AQ60="2",BH60,0)</f>
        <v>0</v>
      </c>
      <c r="AG60" s="90">
        <f>IF(AQ60="2",BI60,0)</f>
        <v>0</v>
      </c>
      <c r="AH60" s="90">
        <f>IF(AQ60="0",BJ60,0)</f>
        <v>0</v>
      </c>
      <c r="AI60" s="70" t="s">
        <v>49</v>
      </c>
      <c r="AJ60" s="90">
        <f>IF(AN60=0,J60,0)</f>
        <v>0</v>
      </c>
      <c r="AK60" s="90">
        <f>IF(AN60=12,J60,0)</f>
        <v>0</v>
      </c>
      <c r="AL60" s="90">
        <f>IF(AN60=21,J60,0)</f>
        <v>0</v>
      </c>
      <c r="AN60" s="90">
        <v>21</v>
      </c>
      <c r="AO60" s="90">
        <f>G60*1</f>
        <v>0</v>
      </c>
      <c r="AP60" s="90">
        <f>G60*(1-1)</f>
        <v>0</v>
      </c>
      <c r="AQ60" s="92" t="s">
        <v>69</v>
      </c>
      <c r="AV60" s="90">
        <f>AW60+AX60</f>
        <v>0</v>
      </c>
      <c r="AW60" s="90">
        <f>F60*AO60</f>
        <v>0</v>
      </c>
      <c r="AX60" s="90">
        <f>F60*AP60</f>
        <v>0</v>
      </c>
      <c r="AY60" s="92" t="s">
        <v>70</v>
      </c>
      <c r="AZ60" s="92" t="s">
        <v>71</v>
      </c>
      <c r="BA60" s="70" t="s">
        <v>57</v>
      </c>
      <c r="BC60" s="90">
        <f>AW60+AX60</f>
        <v>0</v>
      </c>
      <c r="BD60" s="90">
        <f>G60/(100-BE60)*100</f>
        <v>0</v>
      </c>
      <c r="BE60" s="90">
        <v>0</v>
      </c>
      <c r="BF60" s="90">
        <f>64</f>
        <v>64</v>
      </c>
      <c r="BH60" s="90">
        <f>F60*AO60</f>
        <v>0</v>
      </c>
      <c r="BI60" s="90">
        <f>F60*AP60</f>
        <v>0</v>
      </c>
      <c r="BJ60" s="90">
        <f>F60*G60</f>
        <v>0</v>
      </c>
      <c r="BK60" s="90"/>
      <c r="BL60" s="90">
        <v>712</v>
      </c>
      <c r="BW60" s="90">
        <v>21</v>
      </c>
      <c r="BX60" s="93" t="s">
        <v>135</v>
      </c>
    </row>
    <row r="61" spans="1:11" ht="15">
      <c r="A61" s="94"/>
      <c r="C61" s="95" t="s">
        <v>131</v>
      </c>
      <c r="D61" s="95" t="s">
        <v>49</v>
      </c>
      <c r="F61" s="96">
        <v>1109.75</v>
      </c>
      <c r="K61" s="97"/>
    </row>
    <row r="62" spans="1:76" ht="15">
      <c r="A62" s="88" t="s">
        <v>136</v>
      </c>
      <c r="B62" s="89" t="s">
        <v>100</v>
      </c>
      <c r="C62" s="59" t="s">
        <v>129</v>
      </c>
      <c r="D62" s="56"/>
      <c r="E62" s="89" t="s">
        <v>78</v>
      </c>
      <c r="F62" s="90">
        <v>360</v>
      </c>
      <c r="G62" s="281"/>
      <c r="H62" s="90">
        <f>F62*AO62</f>
        <v>0</v>
      </c>
      <c r="I62" s="90">
        <f>F62*AP62</f>
        <v>0</v>
      </c>
      <c r="J62" s="90">
        <f>F62*G62</f>
        <v>0</v>
      </c>
      <c r="K62" s="91" t="s">
        <v>79</v>
      </c>
      <c r="Z62" s="90">
        <f>IF(AQ62="5",BJ62,0)</f>
        <v>0</v>
      </c>
      <c r="AB62" s="90">
        <f>IF(AQ62="1",BH62,0)</f>
        <v>0</v>
      </c>
      <c r="AC62" s="90">
        <f>IF(AQ62="1",BI62,0)</f>
        <v>0</v>
      </c>
      <c r="AD62" s="90">
        <f>IF(AQ62="7",BH62,0)</f>
        <v>0</v>
      </c>
      <c r="AE62" s="90">
        <f>IF(AQ62="7",BI62,0)</f>
        <v>0</v>
      </c>
      <c r="AF62" s="90">
        <f>IF(AQ62="2",BH62,0)</f>
        <v>0</v>
      </c>
      <c r="AG62" s="90">
        <f>IF(AQ62="2",BI62,0)</f>
        <v>0</v>
      </c>
      <c r="AH62" s="90">
        <f>IF(AQ62="0",BJ62,0)</f>
        <v>0</v>
      </c>
      <c r="AI62" s="70" t="s">
        <v>49</v>
      </c>
      <c r="AJ62" s="90">
        <f>IF(AN62=0,J62,0)</f>
        <v>0</v>
      </c>
      <c r="AK62" s="90">
        <f>IF(AN62=12,J62,0)</f>
        <v>0</v>
      </c>
      <c r="AL62" s="90">
        <f>IF(AN62=21,J62,0)</f>
        <v>0</v>
      </c>
      <c r="AN62" s="90">
        <v>21</v>
      </c>
      <c r="AO62" s="90">
        <f>G62*0.105447471</f>
        <v>0</v>
      </c>
      <c r="AP62" s="90">
        <f>G62*(1-0.105447471)</f>
        <v>0</v>
      </c>
      <c r="AQ62" s="92" t="s">
        <v>69</v>
      </c>
      <c r="AV62" s="90">
        <f>AW62+AX62</f>
        <v>0</v>
      </c>
      <c r="AW62" s="90">
        <f>F62*AO62</f>
        <v>0</v>
      </c>
      <c r="AX62" s="90">
        <f>F62*AP62</f>
        <v>0</v>
      </c>
      <c r="AY62" s="92" t="s">
        <v>70</v>
      </c>
      <c r="AZ62" s="92" t="s">
        <v>71</v>
      </c>
      <c r="BA62" s="70" t="s">
        <v>57</v>
      </c>
      <c r="BC62" s="90">
        <f>AW62+AX62</f>
        <v>0</v>
      </c>
      <c r="BD62" s="90">
        <f>G62/(100-BE62)*100</f>
        <v>0</v>
      </c>
      <c r="BE62" s="90">
        <v>0</v>
      </c>
      <c r="BF62" s="90">
        <f>66</f>
        <v>66</v>
      </c>
      <c r="BH62" s="90">
        <f>F62*AO62</f>
        <v>0</v>
      </c>
      <c r="BI62" s="90">
        <f>F62*AP62</f>
        <v>0</v>
      </c>
      <c r="BJ62" s="90">
        <f>F62*G62</f>
        <v>0</v>
      </c>
      <c r="BK62" s="90"/>
      <c r="BL62" s="90">
        <v>712</v>
      </c>
      <c r="BW62" s="90">
        <v>21</v>
      </c>
      <c r="BX62" s="93" t="s">
        <v>129</v>
      </c>
    </row>
    <row r="63" spans="1:11" ht="15">
      <c r="A63" s="94"/>
      <c r="C63" s="95" t="s">
        <v>81</v>
      </c>
      <c r="D63" s="95" t="s">
        <v>49</v>
      </c>
      <c r="F63" s="96">
        <v>360</v>
      </c>
      <c r="K63" s="97"/>
    </row>
    <row r="64" spans="1:76" ht="15">
      <c r="A64" s="88" t="s">
        <v>137</v>
      </c>
      <c r="B64" s="89" t="s">
        <v>122</v>
      </c>
      <c r="C64" s="59" t="s">
        <v>123</v>
      </c>
      <c r="D64" s="56"/>
      <c r="E64" s="89" t="s">
        <v>78</v>
      </c>
      <c r="F64" s="90">
        <v>414</v>
      </c>
      <c r="G64" s="281"/>
      <c r="H64" s="90">
        <f>F64*AO64</f>
        <v>0</v>
      </c>
      <c r="I64" s="90">
        <f>F64*AP64</f>
        <v>0</v>
      </c>
      <c r="J64" s="90">
        <f>F64*G64</f>
        <v>0</v>
      </c>
      <c r="K64" s="91" t="s">
        <v>79</v>
      </c>
      <c r="Z64" s="90">
        <f>IF(AQ64="5",BJ64,0)</f>
        <v>0</v>
      </c>
      <c r="AB64" s="90">
        <f>IF(AQ64="1",BH64,0)</f>
        <v>0</v>
      </c>
      <c r="AC64" s="90">
        <f>IF(AQ64="1",BI64,0)</f>
        <v>0</v>
      </c>
      <c r="AD64" s="90">
        <f>IF(AQ64="7",BH64,0)</f>
        <v>0</v>
      </c>
      <c r="AE64" s="90">
        <f>IF(AQ64="7",BI64,0)</f>
        <v>0</v>
      </c>
      <c r="AF64" s="90">
        <f>IF(AQ64="2",BH64,0)</f>
        <v>0</v>
      </c>
      <c r="AG64" s="90">
        <f>IF(AQ64="2",BI64,0)</f>
        <v>0</v>
      </c>
      <c r="AH64" s="90">
        <f>IF(AQ64="0",BJ64,0)</f>
        <v>0</v>
      </c>
      <c r="AI64" s="70" t="s">
        <v>49</v>
      </c>
      <c r="AJ64" s="90">
        <f>IF(AN64=0,J64,0)</f>
        <v>0</v>
      </c>
      <c r="AK64" s="90">
        <f>IF(AN64=12,J64,0)</f>
        <v>0</v>
      </c>
      <c r="AL64" s="90">
        <f>IF(AN64=21,J64,0)</f>
        <v>0</v>
      </c>
      <c r="AN64" s="90">
        <v>21</v>
      </c>
      <c r="AO64" s="90">
        <f>G64*1</f>
        <v>0</v>
      </c>
      <c r="AP64" s="90">
        <f>G64*(1-1)</f>
        <v>0</v>
      </c>
      <c r="AQ64" s="92" t="s">
        <v>69</v>
      </c>
      <c r="AV64" s="90">
        <f>AW64+AX64</f>
        <v>0</v>
      </c>
      <c r="AW64" s="90">
        <f>F64*AO64</f>
        <v>0</v>
      </c>
      <c r="AX64" s="90">
        <f>F64*AP64</f>
        <v>0</v>
      </c>
      <c r="AY64" s="92" t="s">
        <v>70</v>
      </c>
      <c r="AZ64" s="92" t="s">
        <v>71</v>
      </c>
      <c r="BA64" s="70" t="s">
        <v>57</v>
      </c>
      <c r="BC64" s="90">
        <f>AW64+AX64</f>
        <v>0</v>
      </c>
      <c r="BD64" s="90">
        <f>G64/(100-BE64)*100</f>
        <v>0</v>
      </c>
      <c r="BE64" s="90">
        <v>0</v>
      </c>
      <c r="BF64" s="90">
        <f>68</f>
        <v>68</v>
      </c>
      <c r="BH64" s="90">
        <f>F64*AO64</f>
        <v>0</v>
      </c>
      <c r="BI64" s="90">
        <f>F64*AP64</f>
        <v>0</v>
      </c>
      <c r="BJ64" s="90">
        <f>F64*G64</f>
        <v>0</v>
      </c>
      <c r="BK64" s="90"/>
      <c r="BL64" s="90">
        <v>712</v>
      </c>
      <c r="BW64" s="90">
        <v>21</v>
      </c>
      <c r="BX64" s="93" t="s">
        <v>123</v>
      </c>
    </row>
    <row r="65" spans="1:11" ht="15">
      <c r="A65" s="94"/>
      <c r="C65" s="95" t="s">
        <v>138</v>
      </c>
      <c r="D65" s="95" t="s">
        <v>49</v>
      </c>
      <c r="F65" s="96">
        <v>414</v>
      </c>
      <c r="K65" s="97"/>
    </row>
    <row r="66" spans="1:76" ht="15">
      <c r="A66" s="88" t="s">
        <v>139</v>
      </c>
      <c r="B66" s="89" t="s">
        <v>100</v>
      </c>
      <c r="C66" s="59" t="s">
        <v>129</v>
      </c>
      <c r="D66" s="56"/>
      <c r="E66" s="89" t="s">
        <v>78</v>
      </c>
      <c r="F66" s="90">
        <v>72</v>
      </c>
      <c r="G66" s="281"/>
      <c r="H66" s="90">
        <f>F66*AO66</f>
        <v>0</v>
      </c>
      <c r="I66" s="90">
        <f>F66*AP66</f>
        <v>0</v>
      </c>
      <c r="J66" s="90">
        <f>F66*G66</f>
        <v>0</v>
      </c>
      <c r="K66" s="91" t="s">
        <v>79</v>
      </c>
      <c r="Z66" s="90">
        <f>IF(AQ66="5",BJ66,0)</f>
        <v>0</v>
      </c>
      <c r="AB66" s="90">
        <f>IF(AQ66="1",BH66,0)</f>
        <v>0</v>
      </c>
      <c r="AC66" s="90">
        <f>IF(AQ66="1",BI66,0)</f>
        <v>0</v>
      </c>
      <c r="AD66" s="90">
        <f>IF(AQ66="7",BH66,0)</f>
        <v>0</v>
      </c>
      <c r="AE66" s="90">
        <f>IF(AQ66="7",BI66,0)</f>
        <v>0</v>
      </c>
      <c r="AF66" s="90">
        <f>IF(AQ66="2",BH66,0)</f>
        <v>0</v>
      </c>
      <c r="AG66" s="90">
        <f>IF(AQ66="2",BI66,0)</f>
        <v>0</v>
      </c>
      <c r="AH66" s="90">
        <f>IF(AQ66="0",BJ66,0)</f>
        <v>0</v>
      </c>
      <c r="AI66" s="70" t="s">
        <v>49</v>
      </c>
      <c r="AJ66" s="90">
        <f>IF(AN66=0,J66,0)</f>
        <v>0</v>
      </c>
      <c r="AK66" s="90">
        <f>IF(AN66=12,J66,0)</f>
        <v>0</v>
      </c>
      <c r="AL66" s="90">
        <f>IF(AN66=21,J66,0)</f>
        <v>0</v>
      </c>
      <c r="AN66" s="90">
        <v>21</v>
      </c>
      <c r="AO66" s="90">
        <f>G66*0.105447471</f>
        <v>0</v>
      </c>
      <c r="AP66" s="90">
        <f>G66*(1-0.105447471)</f>
        <v>0</v>
      </c>
      <c r="AQ66" s="92" t="s">
        <v>69</v>
      </c>
      <c r="AV66" s="90">
        <f>AW66+AX66</f>
        <v>0</v>
      </c>
      <c r="AW66" s="90">
        <f>F66*AO66</f>
        <v>0</v>
      </c>
      <c r="AX66" s="90">
        <f>F66*AP66</f>
        <v>0</v>
      </c>
      <c r="AY66" s="92" t="s">
        <v>70</v>
      </c>
      <c r="AZ66" s="92" t="s">
        <v>71</v>
      </c>
      <c r="BA66" s="70" t="s">
        <v>57</v>
      </c>
      <c r="BC66" s="90">
        <f>AW66+AX66</f>
        <v>0</v>
      </c>
      <c r="BD66" s="90">
        <f>G66/(100-BE66)*100</f>
        <v>0</v>
      </c>
      <c r="BE66" s="90">
        <v>0</v>
      </c>
      <c r="BF66" s="90">
        <f>70</f>
        <v>70</v>
      </c>
      <c r="BH66" s="90">
        <f>F66*AO66</f>
        <v>0</v>
      </c>
      <c r="BI66" s="90">
        <f>F66*AP66</f>
        <v>0</v>
      </c>
      <c r="BJ66" s="90">
        <f>F66*G66</f>
        <v>0</v>
      </c>
      <c r="BK66" s="90"/>
      <c r="BL66" s="90">
        <v>712</v>
      </c>
      <c r="BW66" s="90">
        <v>21</v>
      </c>
      <c r="BX66" s="93" t="s">
        <v>129</v>
      </c>
    </row>
    <row r="67" spans="1:11" ht="15">
      <c r="A67" s="94"/>
      <c r="C67" s="95" t="s">
        <v>140</v>
      </c>
      <c r="D67" s="95" t="s">
        <v>49</v>
      </c>
      <c r="F67" s="96">
        <v>72</v>
      </c>
      <c r="K67" s="97"/>
    </row>
    <row r="68" spans="1:76" ht="15">
      <c r="A68" s="88" t="s">
        <v>141</v>
      </c>
      <c r="B68" s="89" t="s">
        <v>142</v>
      </c>
      <c r="C68" s="59" t="s">
        <v>143</v>
      </c>
      <c r="D68" s="56"/>
      <c r="E68" s="89" t="s">
        <v>78</v>
      </c>
      <c r="F68" s="90">
        <v>82.8</v>
      </c>
      <c r="G68" s="281"/>
      <c r="H68" s="90">
        <f>F68*AO68</f>
        <v>0</v>
      </c>
      <c r="I68" s="90">
        <f>F68*AP68</f>
        <v>0</v>
      </c>
      <c r="J68" s="90">
        <f>F68*G68</f>
        <v>0</v>
      </c>
      <c r="K68" s="91" t="s">
        <v>79</v>
      </c>
      <c r="Z68" s="90">
        <f>IF(AQ68="5",BJ68,0)</f>
        <v>0</v>
      </c>
      <c r="AB68" s="90">
        <f>IF(AQ68="1",BH68,0)</f>
        <v>0</v>
      </c>
      <c r="AC68" s="90">
        <f>IF(AQ68="1",BI68,0)</f>
        <v>0</v>
      </c>
      <c r="AD68" s="90">
        <f>IF(AQ68="7",BH68,0)</f>
        <v>0</v>
      </c>
      <c r="AE68" s="90">
        <f>IF(AQ68="7",BI68,0)</f>
        <v>0</v>
      </c>
      <c r="AF68" s="90">
        <f>IF(AQ68="2",BH68,0)</f>
        <v>0</v>
      </c>
      <c r="AG68" s="90">
        <f>IF(AQ68="2",BI68,0)</f>
        <v>0</v>
      </c>
      <c r="AH68" s="90">
        <f>IF(AQ68="0",BJ68,0)</f>
        <v>0</v>
      </c>
      <c r="AI68" s="70" t="s">
        <v>49</v>
      </c>
      <c r="AJ68" s="90">
        <f>IF(AN68=0,J68,0)</f>
        <v>0</v>
      </c>
      <c r="AK68" s="90">
        <f>IF(AN68=12,J68,0)</f>
        <v>0</v>
      </c>
      <c r="AL68" s="90">
        <f>IF(AN68=21,J68,0)</f>
        <v>0</v>
      </c>
      <c r="AN68" s="90">
        <v>21</v>
      </c>
      <c r="AO68" s="90">
        <f>G68*1</f>
        <v>0</v>
      </c>
      <c r="AP68" s="90">
        <f>G68*(1-1)</f>
        <v>0</v>
      </c>
      <c r="AQ68" s="92" t="s">
        <v>69</v>
      </c>
      <c r="AV68" s="90">
        <f>AW68+AX68</f>
        <v>0</v>
      </c>
      <c r="AW68" s="90">
        <f>F68*AO68</f>
        <v>0</v>
      </c>
      <c r="AX68" s="90">
        <f>F68*AP68</f>
        <v>0</v>
      </c>
      <c r="AY68" s="92" t="s">
        <v>70</v>
      </c>
      <c r="AZ68" s="92" t="s">
        <v>71</v>
      </c>
      <c r="BA68" s="70" t="s">
        <v>57</v>
      </c>
      <c r="BC68" s="90">
        <f>AW68+AX68</f>
        <v>0</v>
      </c>
      <c r="BD68" s="90">
        <f>G68/(100-BE68)*100</f>
        <v>0</v>
      </c>
      <c r="BE68" s="90">
        <v>0</v>
      </c>
      <c r="BF68" s="90">
        <f>72</f>
        <v>72</v>
      </c>
      <c r="BH68" s="90">
        <f>F68*AO68</f>
        <v>0</v>
      </c>
      <c r="BI68" s="90">
        <f>F68*AP68</f>
        <v>0</v>
      </c>
      <c r="BJ68" s="90">
        <f>F68*G68</f>
        <v>0</v>
      </c>
      <c r="BK68" s="90"/>
      <c r="BL68" s="90">
        <v>712</v>
      </c>
      <c r="BW68" s="90">
        <v>21</v>
      </c>
      <c r="BX68" s="93" t="s">
        <v>143</v>
      </c>
    </row>
    <row r="69" spans="1:11" ht="15">
      <c r="A69" s="94"/>
      <c r="C69" s="95" t="s">
        <v>144</v>
      </c>
      <c r="D69" s="95" t="s">
        <v>49</v>
      </c>
      <c r="F69" s="96">
        <v>82.8</v>
      </c>
      <c r="K69" s="97"/>
    </row>
    <row r="70" spans="1:76" ht="15">
      <c r="A70" s="88" t="s">
        <v>145</v>
      </c>
      <c r="B70" s="89" t="s">
        <v>108</v>
      </c>
      <c r="C70" s="59" t="s">
        <v>146</v>
      </c>
      <c r="D70" s="56"/>
      <c r="E70" s="89" t="s">
        <v>78</v>
      </c>
      <c r="F70" s="90">
        <v>196.068</v>
      </c>
      <c r="G70" s="281"/>
      <c r="H70" s="90">
        <f>F70*AO70</f>
        <v>0</v>
      </c>
      <c r="I70" s="90">
        <f>F70*AP70</f>
        <v>0</v>
      </c>
      <c r="J70" s="90">
        <f>F70*G70</f>
        <v>0</v>
      </c>
      <c r="K70" s="91" t="s">
        <v>79</v>
      </c>
      <c r="Z70" s="90">
        <f>IF(AQ70="5",BJ70,0)</f>
        <v>0</v>
      </c>
      <c r="AB70" s="90">
        <f>IF(AQ70="1",BH70,0)</f>
        <v>0</v>
      </c>
      <c r="AC70" s="90">
        <f>IF(AQ70="1",BI70,0)</f>
        <v>0</v>
      </c>
      <c r="AD70" s="90">
        <f>IF(AQ70="7",BH70,0)</f>
        <v>0</v>
      </c>
      <c r="AE70" s="90">
        <f>IF(AQ70="7",BI70,0)</f>
        <v>0</v>
      </c>
      <c r="AF70" s="90">
        <f>IF(AQ70="2",BH70,0)</f>
        <v>0</v>
      </c>
      <c r="AG70" s="90">
        <f>IF(AQ70="2",BI70,0)</f>
        <v>0</v>
      </c>
      <c r="AH70" s="90">
        <f>IF(AQ70="0",BJ70,0)</f>
        <v>0</v>
      </c>
      <c r="AI70" s="70" t="s">
        <v>49</v>
      </c>
      <c r="AJ70" s="90">
        <f>IF(AN70=0,J70,0)</f>
        <v>0</v>
      </c>
      <c r="AK70" s="90">
        <f>IF(AN70=12,J70,0)</f>
        <v>0</v>
      </c>
      <c r="AL70" s="90">
        <f>IF(AN70=21,J70,0)</f>
        <v>0</v>
      </c>
      <c r="AN70" s="90">
        <v>21</v>
      </c>
      <c r="AO70" s="90">
        <f>G70*0</f>
        <v>0</v>
      </c>
      <c r="AP70" s="90">
        <f>G70*(1-0)</f>
        <v>0</v>
      </c>
      <c r="AQ70" s="92" t="s">
        <v>69</v>
      </c>
      <c r="AV70" s="90">
        <f>AW70+AX70</f>
        <v>0</v>
      </c>
      <c r="AW70" s="90">
        <f>F70*AO70</f>
        <v>0</v>
      </c>
      <c r="AX70" s="90">
        <f>F70*AP70</f>
        <v>0</v>
      </c>
      <c r="AY70" s="92" t="s">
        <v>70</v>
      </c>
      <c r="AZ70" s="92" t="s">
        <v>71</v>
      </c>
      <c r="BA70" s="70" t="s">
        <v>57</v>
      </c>
      <c r="BC70" s="90">
        <f>AW70+AX70</f>
        <v>0</v>
      </c>
      <c r="BD70" s="90">
        <f>G70/(100-BE70)*100</f>
        <v>0</v>
      </c>
      <c r="BE70" s="90">
        <v>0</v>
      </c>
      <c r="BF70" s="90">
        <f>74</f>
        <v>74</v>
      </c>
      <c r="BH70" s="90">
        <f>F70*AO70</f>
        <v>0</v>
      </c>
      <c r="BI70" s="90">
        <f>F70*AP70</f>
        <v>0</v>
      </c>
      <c r="BJ70" s="90">
        <f>F70*G70</f>
        <v>0</v>
      </c>
      <c r="BK70" s="90"/>
      <c r="BL70" s="90">
        <v>712</v>
      </c>
      <c r="BW70" s="90">
        <v>21</v>
      </c>
      <c r="BX70" s="93" t="s">
        <v>146</v>
      </c>
    </row>
    <row r="71" spans="1:11" ht="15">
      <c r="A71" s="94"/>
      <c r="C71" s="95" t="s">
        <v>147</v>
      </c>
      <c r="D71" s="95" t="s">
        <v>49</v>
      </c>
      <c r="F71" s="96">
        <v>196.068</v>
      </c>
      <c r="K71" s="97"/>
    </row>
    <row r="72" spans="1:76" ht="15">
      <c r="A72" s="88" t="s">
        <v>148</v>
      </c>
      <c r="B72" s="89" t="s">
        <v>112</v>
      </c>
      <c r="C72" s="59" t="s">
        <v>113</v>
      </c>
      <c r="D72" s="56"/>
      <c r="E72" s="89" t="s">
        <v>78</v>
      </c>
      <c r="F72" s="90">
        <v>225.4782</v>
      </c>
      <c r="G72" s="281"/>
      <c r="H72" s="90">
        <f>F72*AO72</f>
        <v>0</v>
      </c>
      <c r="I72" s="90">
        <f>F72*AP72</f>
        <v>0</v>
      </c>
      <c r="J72" s="90">
        <f>F72*G72</f>
        <v>0</v>
      </c>
      <c r="K72" s="91" t="s">
        <v>79</v>
      </c>
      <c r="Z72" s="90">
        <f>IF(AQ72="5",BJ72,0)</f>
        <v>0</v>
      </c>
      <c r="AB72" s="90">
        <f>IF(AQ72="1",BH72,0)</f>
        <v>0</v>
      </c>
      <c r="AC72" s="90">
        <f>IF(AQ72="1",BI72,0)</f>
        <v>0</v>
      </c>
      <c r="AD72" s="90">
        <f>IF(AQ72="7",BH72,0)</f>
        <v>0</v>
      </c>
      <c r="AE72" s="90">
        <f>IF(AQ72="7",BI72,0)</f>
        <v>0</v>
      </c>
      <c r="AF72" s="90">
        <f>IF(AQ72="2",BH72,0)</f>
        <v>0</v>
      </c>
      <c r="AG72" s="90">
        <f>IF(AQ72="2",BI72,0)</f>
        <v>0</v>
      </c>
      <c r="AH72" s="90">
        <f>IF(AQ72="0",BJ72,0)</f>
        <v>0</v>
      </c>
      <c r="AI72" s="70" t="s">
        <v>49</v>
      </c>
      <c r="AJ72" s="90">
        <f>IF(AN72=0,J72,0)</f>
        <v>0</v>
      </c>
      <c r="AK72" s="90">
        <f>IF(AN72=12,J72,0)</f>
        <v>0</v>
      </c>
      <c r="AL72" s="90">
        <f>IF(AN72=21,J72,0)</f>
        <v>0</v>
      </c>
      <c r="AN72" s="90">
        <v>21</v>
      </c>
      <c r="AO72" s="90">
        <f>G72*1</f>
        <v>0</v>
      </c>
      <c r="AP72" s="90">
        <f>G72*(1-1)</f>
        <v>0</v>
      </c>
      <c r="AQ72" s="92" t="s">
        <v>69</v>
      </c>
      <c r="AV72" s="90">
        <f>AW72+AX72</f>
        <v>0</v>
      </c>
      <c r="AW72" s="90">
        <f>F72*AO72</f>
        <v>0</v>
      </c>
      <c r="AX72" s="90">
        <f>F72*AP72</f>
        <v>0</v>
      </c>
      <c r="AY72" s="92" t="s">
        <v>70</v>
      </c>
      <c r="AZ72" s="92" t="s">
        <v>71</v>
      </c>
      <c r="BA72" s="70" t="s">
        <v>57</v>
      </c>
      <c r="BC72" s="90">
        <f>AW72+AX72</f>
        <v>0</v>
      </c>
      <c r="BD72" s="90">
        <f>G72/(100-BE72)*100</f>
        <v>0</v>
      </c>
      <c r="BE72" s="90">
        <v>0</v>
      </c>
      <c r="BF72" s="90">
        <f>76</f>
        <v>76</v>
      </c>
      <c r="BH72" s="90">
        <f>F72*AO72</f>
        <v>0</v>
      </c>
      <c r="BI72" s="90">
        <f>F72*AP72</f>
        <v>0</v>
      </c>
      <c r="BJ72" s="90">
        <f>F72*G72</f>
        <v>0</v>
      </c>
      <c r="BK72" s="90"/>
      <c r="BL72" s="90">
        <v>712</v>
      </c>
      <c r="BW72" s="90">
        <v>21</v>
      </c>
      <c r="BX72" s="93" t="s">
        <v>113</v>
      </c>
    </row>
    <row r="73" spans="1:11" ht="15">
      <c r="A73" s="94"/>
      <c r="C73" s="95" t="s">
        <v>149</v>
      </c>
      <c r="D73" s="95" t="s">
        <v>49</v>
      </c>
      <c r="F73" s="96">
        <v>225.4782</v>
      </c>
      <c r="K73" s="97"/>
    </row>
    <row r="74" spans="1:76" ht="15">
      <c r="A74" s="88" t="s">
        <v>150</v>
      </c>
      <c r="B74" s="89" t="s">
        <v>108</v>
      </c>
      <c r="C74" s="59" t="s">
        <v>146</v>
      </c>
      <c r="D74" s="56"/>
      <c r="E74" s="89" t="s">
        <v>78</v>
      </c>
      <c r="F74" s="90">
        <v>98.034</v>
      </c>
      <c r="G74" s="281"/>
      <c r="H74" s="90">
        <f>F74*AO74</f>
        <v>0</v>
      </c>
      <c r="I74" s="90">
        <f>F74*AP74</f>
        <v>0</v>
      </c>
      <c r="J74" s="90">
        <f>F74*G74</f>
        <v>0</v>
      </c>
      <c r="K74" s="91" t="s">
        <v>79</v>
      </c>
      <c r="Z74" s="90">
        <f>IF(AQ74="5",BJ74,0)</f>
        <v>0</v>
      </c>
      <c r="AB74" s="90">
        <f>IF(AQ74="1",BH74,0)</f>
        <v>0</v>
      </c>
      <c r="AC74" s="90">
        <f>IF(AQ74="1",BI74,0)</f>
        <v>0</v>
      </c>
      <c r="AD74" s="90">
        <f>IF(AQ74="7",BH74,0)</f>
        <v>0</v>
      </c>
      <c r="AE74" s="90">
        <f>IF(AQ74="7",BI74,0)</f>
        <v>0</v>
      </c>
      <c r="AF74" s="90">
        <f>IF(AQ74="2",BH74,0)</f>
        <v>0</v>
      </c>
      <c r="AG74" s="90">
        <f>IF(AQ74="2",BI74,0)</f>
        <v>0</v>
      </c>
      <c r="AH74" s="90">
        <f>IF(AQ74="0",BJ74,0)</f>
        <v>0</v>
      </c>
      <c r="AI74" s="70" t="s">
        <v>49</v>
      </c>
      <c r="AJ74" s="90">
        <f>IF(AN74=0,J74,0)</f>
        <v>0</v>
      </c>
      <c r="AK74" s="90">
        <f>IF(AN74=12,J74,0)</f>
        <v>0</v>
      </c>
      <c r="AL74" s="90">
        <f>IF(AN74=21,J74,0)</f>
        <v>0</v>
      </c>
      <c r="AN74" s="90">
        <v>21</v>
      </c>
      <c r="AO74" s="90">
        <f>G74*0</f>
        <v>0</v>
      </c>
      <c r="AP74" s="90">
        <f>G74*(1-0)</f>
        <v>0</v>
      </c>
      <c r="AQ74" s="92" t="s">
        <v>69</v>
      </c>
      <c r="AV74" s="90">
        <f>AW74+AX74</f>
        <v>0</v>
      </c>
      <c r="AW74" s="90">
        <f>F74*AO74</f>
        <v>0</v>
      </c>
      <c r="AX74" s="90">
        <f>F74*AP74</f>
        <v>0</v>
      </c>
      <c r="AY74" s="92" t="s">
        <v>70</v>
      </c>
      <c r="AZ74" s="92" t="s">
        <v>71</v>
      </c>
      <c r="BA74" s="70" t="s">
        <v>57</v>
      </c>
      <c r="BC74" s="90">
        <f>AW74+AX74</f>
        <v>0</v>
      </c>
      <c r="BD74" s="90">
        <f>G74/(100-BE74)*100</f>
        <v>0</v>
      </c>
      <c r="BE74" s="90">
        <v>0</v>
      </c>
      <c r="BF74" s="90">
        <f>78</f>
        <v>78</v>
      </c>
      <c r="BH74" s="90">
        <f>F74*AO74</f>
        <v>0</v>
      </c>
      <c r="BI74" s="90">
        <f>F74*AP74</f>
        <v>0</v>
      </c>
      <c r="BJ74" s="90">
        <f>F74*G74</f>
        <v>0</v>
      </c>
      <c r="BK74" s="90"/>
      <c r="BL74" s="90">
        <v>712</v>
      </c>
      <c r="BW74" s="90">
        <v>21</v>
      </c>
      <c r="BX74" s="93" t="s">
        <v>146</v>
      </c>
    </row>
    <row r="75" spans="1:11" ht="15">
      <c r="A75" s="94"/>
      <c r="C75" s="95" t="s">
        <v>151</v>
      </c>
      <c r="D75" s="95" t="s">
        <v>49</v>
      </c>
      <c r="F75" s="96">
        <v>98.034</v>
      </c>
      <c r="K75" s="97"/>
    </row>
    <row r="76" spans="1:76" ht="15">
      <c r="A76" s="88" t="s">
        <v>152</v>
      </c>
      <c r="B76" s="89" t="s">
        <v>104</v>
      </c>
      <c r="C76" s="59" t="s">
        <v>105</v>
      </c>
      <c r="D76" s="56"/>
      <c r="E76" s="89" t="s">
        <v>78</v>
      </c>
      <c r="F76" s="90">
        <v>112.7391</v>
      </c>
      <c r="G76" s="281"/>
      <c r="H76" s="90">
        <f>F76*AO76</f>
        <v>0</v>
      </c>
      <c r="I76" s="90">
        <f>F76*AP76</f>
        <v>0</v>
      </c>
      <c r="J76" s="90">
        <f>F76*G76</f>
        <v>0</v>
      </c>
      <c r="K76" s="91" t="s">
        <v>79</v>
      </c>
      <c r="Z76" s="90">
        <f>IF(AQ76="5",BJ76,0)</f>
        <v>0</v>
      </c>
      <c r="AB76" s="90">
        <f>IF(AQ76="1",BH76,0)</f>
        <v>0</v>
      </c>
      <c r="AC76" s="90">
        <f>IF(AQ76="1",BI76,0)</f>
        <v>0</v>
      </c>
      <c r="AD76" s="90">
        <f>IF(AQ76="7",BH76,0)</f>
        <v>0</v>
      </c>
      <c r="AE76" s="90">
        <f>IF(AQ76="7",BI76,0)</f>
        <v>0</v>
      </c>
      <c r="AF76" s="90">
        <f>IF(AQ76="2",BH76,0)</f>
        <v>0</v>
      </c>
      <c r="AG76" s="90">
        <f>IF(AQ76="2",BI76,0)</f>
        <v>0</v>
      </c>
      <c r="AH76" s="90">
        <f>IF(AQ76="0",BJ76,0)</f>
        <v>0</v>
      </c>
      <c r="AI76" s="70" t="s">
        <v>49</v>
      </c>
      <c r="AJ76" s="90">
        <f>IF(AN76=0,J76,0)</f>
        <v>0</v>
      </c>
      <c r="AK76" s="90">
        <f>IF(AN76=12,J76,0)</f>
        <v>0</v>
      </c>
      <c r="AL76" s="90">
        <f>IF(AN76=21,J76,0)</f>
        <v>0</v>
      </c>
      <c r="AN76" s="90">
        <v>21</v>
      </c>
      <c r="AO76" s="90">
        <f>G76*1</f>
        <v>0</v>
      </c>
      <c r="AP76" s="90">
        <f>G76*(1-1)</f>
        <v>0</v>
      </c>
      <c r="AQ76" s="92" t="s">
        <v>69</v>
      </c>
      <c r="AV76" s="90">
        <f>AW76+AX76</f>
        <v>0</v>
      </c>
      <c r="AW76" s="90">
        <f>F76*AO76</f>
        <v>0</v>
      </c>
      <c r="AX76" s="90">
        <f>F76*AP76</f>
        <v>0</v>
      </c>
      <c r="AY76" s="92" t="s">
        <v>70</v>
      </c>
      <c r="AZ76" s="92" t="s">
        <v>71</v>
      </c>
      <c r="BA76" s="70" t="s">
        <v>57</v>
      </c>
      <c r="BC76" s="90">
        <f>AW76+AX76</f>
        <v>0</v>
      </c>
      <c r="BD76" s="90">
        <f>G76/(100-BE76)*100</f>
        <v>0</v>
      </c>
      <c r="BE76" s="90">
        <v>0</v>
      </c>
      <c r="BF76" s="90">
        <f>80</f>
        <v>80</v>
      </c>
      <c r="BH76" s="90">
        <f>F76*AO76</f>
        <v>0</v>
      </c>
      <c r="BI76" s="90">
        <f>F76*AP76</f>
        <v>0</v>
      </c>
      <c r="BJ76" s="90">
        <f>F76*G76</f>
        <v>0</v>
      </c>
      <c r="BK76" s="90"/>
      <c r="BL76" s="90">
        <v>712</v>
      </c>
      <c r="BW76" s="90">
        <v>21</v>
      </c>
      <c r="BX76" s="93" t="s">
        <v>105</v>
      </c>
    </row>
    <row r="77" spans="1:11" ht="15">
      <c r="A77" s="94"/>
      <c r="C77" s="95" t="s">
        <v>153</v>
      </c>
      <c r="D77" s="95" t="s">
        <v>49</v>
      </c>
      <c r="F77" s="96">
        <v>112.7391</v>
      </c>
      <c r="K77" s="97"/>
    </row>
    <row r="78" spans="1:76" ht="15">
      <c r="A78" s="88" t="s">
        <v>154</v>
      </c>
      <c r="B78" s="89" t="s">
        <v>100</v>
      </c>
      <c r="C78" s="59" t="s">
        <v>155</v>
      </c>
      <c r="D78" s="56"/>
      <c r="E78" s="89" t="s">
        <v>78</v>
      </c>
      <c r="F78" s="90">
        <v>98.034</v>
      </c>
      <c r="G78" s="281"/>
      <c r="H78" s="90">
        <f>F78*AO78</f>
        <v>0</v>
      </c>
      <c r="I78" s="90">
        <f>F78*AP78</f>
        <v>0</v>
      </c>
      <c r="J78" s="90">
        <f>F78*G78</f>
        <v>0</v>
      </c>
      <c r="K78" s="91" t="s">
        <v>79</v>
      </c>
      <c r="Z78" s="90">
        <f>IF(AQ78="5",BJ78,0)</f>
        <v>0</v>
      </c>
      <c r="AB78" s="90">
        <f>IF(AQ78="1",BH78,0)</f>
        <v>0</v>
      </c>
      <c r="AC78" s="90">
        <f>IF(AQ78="1",BI78,0)</f>
        <v>0</v>
      </c>
      <c r="AD78" s="90">
        <f>IF(AQ78="7",BH78,0)</f>
        <v>0</v>
      </c>
      <c r="AE78" s="90">
        <f>IF(AQ78="7",BI78,0)</f>
        <v>0</v>
      </c>
      <c r="AF78" s="90">
        <f>IF(AQ78="2",BH78,0)</f>
        <v>0</v>
      </c>
      <c r="AG78" s="90">
        <f>IF(AQ78="2",BI78,0)</f>
        <v>0</v>
      </c>
      <c r="AH78" s="90">
        <f>IF(AQ78="0",BJ78,0)</f>
        <v>0</v>
      </c>
      <c r="AI78" s="70" t="s">
        <v>49</v>
      </c>
      <c r="AJ78" s="90">
        <f>IF(AN78=0,J78,0)</f>
        <v>0</v>
      </c>
      <c r="AK78" s="90">
        <f>IF(AN78=12,J78,0)</f>
        <v>0</v>
      </c>
      <c r="AL78" s="90">
        <f>IF(AN78=21,J78,0)</f>
        <v>0</v>
      </c>
      <c r="AN78" s="90">
        <v>21</v>
      </c>
      <c r="AO78" s="90">
        <f>G78*0.105447462</f>
        <v>0</v>
      </c>
      <c r="AP78" s="90">
        <f>G78*(1-0.105447462)</f>
        <v>0</v>
      </c>
      <c r="AQ78" s="92" t="s">
        <v>69</v>
      </c>
      <c r="AV78" s="90">
        <f>AW78+AX78</f>
        <v>0</v>
      </c>
      <c r="AW78" s="90">
        <f>F78*AO78</f>
        <v>0</v>
      </c>
      <c r="AX78" s="90">
        <f>F78*AP78</f>
        <v>0</v>
      </c>
      <c r="AY78" s="92" t="s">
        <v>70</v>
      </c>
      <c r="AZ78" s="92" t="s">
        <v>71</v>
      </c>
      <c r="BA78" s="70" t="s">
        <v>57</v>
      </c>
      <c r="BC78" s="90">
        <f>AW78+AX78</f>
        <v>0</v>
      </c>
      <c r="BD78" s="90">
        <f>G78/(100-BE78)*100</f>
        <v>0</v>
      </c>
      <c r="BE78" s="90">
        <v>0</v>
      </c>
      <c r="BF78" s="90">
        <f>82</f>
        <v>82</v>
      </c>
      <c r="BH78" s="90">
        <f>F78*AO78</f>
        <v>0</v>
      </c>
      <c r="BI78" s="90">
        <f>F78*AP78</f>
        <v>0</v>
      </c>
      <c r="BJ78" s="90">
        <f>F78*G78</f>
        <v>0</v>
      </c>
      <c r="BK78" s="90"/>
      <c r="BL78" s="90">
        <v>712</v>
      </c>
      <c r="BW78" s="90">
        <v>21</v>
      </c>
      <c r="BX78" s="93" t="s">
        <v>155</v>
      </c>
    </row>
    <row r="79" spans="1:11" ht="15">
      <c r="A79" s="94"/>
      <c r="C79" s="95" t="s">
        <v>151</v>
      </c>
      <c r="D79" s="95" t="s">
        <v>49</v>
      </c>
      <c r="F79" s="96">
        <v>98.034</v>
      </c>
      <c r="K79" s="97"/>
    </row>
    <row r="80" spans="1:76" ht="15">
      <c r="A80" s="88" t="s">
        <v>156</v>
      </c>
      <c r="B80" s="89" t="s">
        <v>118</v>
      </c>
      <c r="C80" s="59" t="s">
        <v>119</v>
      </c>
      <c r="D80" s="56"/>
      <c r="E80" s="89" t="s">
        <v>78</v>
      </c>
      <c r="F80" s="90">
        <v>112.7391</v>
      </c>
      <c r="G80" s="281"/>
      <c r="H80" s="90">
        <f>F80*AO80</f>
        <v>0</v>
      </c>
      <c r="I80" s="90">
        <f>F80*AP80</f>
        <v>0</v>
      </c>
      <c r="J80" s="90">
        <f>F80*G80</f>
        <v>0</v>
      </c>
      <c r="K80" s="91" t="s">
        <v>49</v>
      </c>
      <c r="Z80" s="90">
        <f>IF(AQ80="5",BJ80,0)</f>
        <v>0</v>
      </c>
      <c r="AB80" s="90">
        <f>IF(AQ80="1",BH80,0)</f>
        <v>0</v>
      </c>
      <c r="AC80" s="90">
        <f>IF(AQ80="1",BI80,0)</f>
        <v>0</v>
      </c>
      <c r="AD80" s="90">
        <f>IF(AQ80="7",BH80,0)</f>
        <v>0</v>
      </c>
      <c r="AE80" s="90">
        <f>IF(AQ80="7",BI80,0)</f>
        <v>0</v>
      </c>
      <c r="AF80" s="90">
        <f>IF(AQ80="2",BH80,0)</f>
        <v>0</v>
      </c>
      <c r="AG80" s="90">
        <f>IF(AQ80="2",BI80,0)</f>
        <v>0</v>
      </c>
      <c r="AH80" s="90">
        <f>IF(AQ80="0",BJ80,0)</f>
        <v>0</v>
      </c>
      <c r="AI80" s="70" t="s">
        <v>49</v>
      </c>
      <c r="AJ80" s="90">
        <f>IF(AN80=0,J80,0)</f>
        <v>0</v>
      </c>
      <c r="AK80" s="90">
        <f>IF(AN80=12,J80,0)</f>
        <v>0</v>
      </c>
      <c r="AL80" s="90">
        <f>IF(AN80=21,J80,0)</f>
        <v>0</v>
      </c>
      <c r="AN80" s="90">
        <v>21</v>
      </c>
      <c r="AO80" s="90">
        <f>G80*1</f>
        <v>0</v>
      </c>
      <c r="AP80" s="90">
        <f>G80*(1-1)</f>
        <v>0</v>
      </c>
      <c r="AQ80" s="92" t="s">
        <v>69</v>
      </c>
      <c r="AV80" s="90">
        <f>AW80+AX80</f>
        <v>0</v>
      </c>
      <c r="AW80" s="90">
        <f>F80*AO80</f>
        <v>0</v>
      </c>
      <c r="AX80" s="90">
        <f>F80*AP80</f>
        <v>0</v>
      </c>
      <c r="AY80" s="92" t="s">
        <v>70</v>
      </c>
      <c r="AZ80" s="92" t="s">
        <v>71</v>
      </c>
      <c r="BA80" s="70" t="s">
        <v>57</v>
      </c>
      <c r="BC80" s="90">
        <f>AW80+AX80</f>
        <v>0</v>
      </c>
      <c r="BD80" s="90">
        <f>G80/(100-BE80)*100</f>
        <v>0</v>
      </c>
      <c r="BE80" s="90">
        <v>0</v>
      </c>
      <c r="BF80" s="90">
        <f>84</f>
        <v>84</v>
      </c>
      <c r="BH80" s="90">
        <f>F80*AO80</f>
        <v>0</v>
      </c>
      <c r="BI80" s="90">
        <f>F80*AP80</f>
        <v>0</v>
      </c>
      <c r="BJ80" s="90">
        <f>F80*G80</f>
        <v>0</v>
      </c>
      <c r="BK80" s="90"/>
      <c r="BL80" s="90">
        <v>712</v>
      </c>
      <c r="BW80" s="90">
        <v>21</v>
      </c>
      <c r="BX80" s="93" t="s">
        <v>119</v>
      </c>
    </row>
    <row r="81" spans="1:11" ht="15">
      <c r="A81" s="94"/>
      <c r="C81" s="95" t="s">
        <v>153</v>
      </c>
      <c r="D81" s="95" t="s">
        <v>49</v>
      </c>
      <c r="F81" s="96">
        <v>112.7391</v>
      </c>
      <c r="K81" s="97"/>
    </row>
    <row r="82" spans="1:76" ht="15">
      <c r="A82" s="88" t="s">
        <v>157</v>
      </c>
      <c r="B82" s="104" t="s">
        <v>100</v>
      </c>
      <c r="C82" s="59" t="s">
        <v>155</v>
      </c>
      <c r="D82" s="56"/>
      <c r="E82" s="89" t="s">
        <v>78</v>
      </c>
      <c r="F82" s="90">
        <v>196.068</v>
      </c>
      <c r="G82" s="281"/>
      <c r="H82" s="90">
        <f>F82*AO82</f>
        <v>0</v>
      </c>
      <c r="I82" s="90">
        <f>F82*AP82</f>
        <v>0</v>
      </c>
      <c r="J82" s="90">
        <f>F82*G82</f>
        <v>0</v>
      </c>
      <c r="K82" s="91" t="s">
        <v>79</v>
      </c>
      <c r="Z82" s="90">
        <f>IF(AQ82="5",BJ82,0)</f>
        <v>0</v>
      </c>
      <c r="AB82" s="90">
        <f>IF(AQ82="1",BH82,0)</f>
        <v>0</v>
      </c>
      <c r="AC82" s="90">
        <f>IF(AQ82="1",BI82,0)</f>
        <v>0</v>
      </c>
      <c r="AD82" s="90">
        <f>IF(AQ82="7",BH82,0)</f>
        <v>0</v>
      </c>
      <c r="AE82" s="90">
        <f>IF(AQ82="7",BI82,0)</f>
        <v>0</v>
      </c>
      <c r="AF82" s="90">
        <f>IF(AQ82="2",BH82,0)</f>
        <v>0</v>
      </c>
      <c r="AG82" s="90">
        <f>IF(AQ82="2",BI82,0)</f>
        <v>0</v>
      </c>
      <c r="AH82" s="90">
        <f>IF(AQ82="0",BJ82,0)</f>
        <v>0</v>
      </c>
      <c r="AI82" s="70" t="s">
        <v>49</v>
      </c>
      <c r="AJ82" s="90">
        <f>IF(AN82=0,J82,0)</f>
        <v>0</v>
      </c>
      <c r="AK82" s="90">
        <f>IF(AN82=12,J82,0)</f>
        <v>0</v>
      </c>
      <c r="AL82" s="90">
        <f>IF(AN82=21,J82,0)</f>
        <v>0</v>
      </c>
      <c r="AN82" s="90">
        <v>21</v>
      </c>
      <c r="AO82" s="90">
        <f>G82*0.105447462</f>
        <v>0</v>
      </c>
      <c r="AP82" s="90">
        <f>G82*(1-0.105447462)</f>
        <v>0</v>
      </c>
      <c r="AQ82" s="92" t="s">
        <v>69</v>
      </c>
      <c r="AV82" s="90">
        <f>AW82+AX82</f>
        <v>0</v>
      </c>
      <c r="AW82" s="90">
        <f>F82*AO82</f>
        <v>0</v>
      </c>
      <c r="AX82" s="90">
        <f>F82*AP82</f>
        <v>0</v>
      </c>
      <c r="AY82" s="92" t="s">
        <v>70</v>
      </c>
      <c r="AZ82" s="92" t="s">
        <v>71</v>
      </c>
      <c r="BA82" s="70" t="s">
        <v>57</v>
      </c>
      <c r="BC82" s="90">
        <f>AW82+AX82</f>
        <v>0</v>
      </c>
      <c r="BD82" s="90">
        <f>G82/(100-BE82)*100</f>
        <v>0</v>
      </c>
      <c r="BE82" s="90">
        <v>0</v>
      </c>
      <c r="BF82" s="90">
        <f>86</f>
        <v>86</v>
      </c>
      <c r="BH82" s="90">
        <f>F82*AO82</f>
        <v>0</v>
      </c>
      <c r="BI82" s="90">
        <f>F82*AP82</f>
        <v>0</v>
      </c>
      <c r="BJ82" s="90">
        <f>F82*G82</f>
        <v>0</v>
      </c>
      <c r="BK82" s="90"/>
      <c r="BL82" s="90">
        <v>712</v>
      </c>
      <c r="BW82" s="90">
        <v>21</v>
      </c>
      <c r="BX82" s="93" t="s">
        <v>155</v>
      </c>
    </row>
    <row r="83" spans="1:11" ht="15">
      <c r="A83" s="94"/>
      <c r="C83" s="95" t="s">
        <v>147</v>
      </c>
      <c r="D83" s="95" t="s">
        <v>49</v>
      </c>
      <c r="F83" s="96">
        <v>196.068</v>
      </c>
      <c r="K83" s="97"/>
    </row>
    <row r="84" spans="1:76" ht="15">
      <c r="A84" s="88" t="s">
        <v>158</v>
      </c>
      <c r="B84" s="104" t="s">
        <v>122</v>
      </c>
      <c r="C84" s="59" t="s">
        <v>123</v>
      </c>
      <c r="D84" s="56"/>
      <c r="E84" s="89" t="s">
        <v>78</v>
      </c>
      <c r="F84" s="90">
        <v>225.4782</v>
      </c>
      <c r="G84" s="281"/>
      <c r="H84" s="90">
        <f>F84*AO84</f>
        <v>0</v>
      </c>
      <c r="I84" s="90">
        <f>F84*AP84</f>
        <v>0</v>
      </c>
      <c r="J84" s="90">
        <f>F84*G84</f>
        <v>0</v>
      </c>
      <c r="K84" s="91" t="s">
        <v>79</v>
      </c>
      <c r="Z84" s="90">
        <f>IF(AQ84="5",BJ84,0)</f>
        <v>0</v>
      </c>
      <c r="AB84" s="90">
        <f>IF(AQ84="1",BH84,0)</f>
        <v>0</v>
      </c>
      <c r="AC84" s="90">
        <f>IF(AQ84="1",BI84,0)</f>
        <v>0</v>
      </c>
      <c r="AD84" s="90">
        <f>IF(AQ84="7",BH84,0)</f>
        <v>0</v>
      </c>
      <c r="AE84" s="90">
        <f>IF(AQ84="7",BI84,0)</f>
        <v>0</v>
      </c>
      <c r="AF84" s="90">
        <f>IF(AQ84="2",BH84,0)</f>
        <v>0</v>
      </c>
      <c r="AG84" s="90">
        <f>IF(AQ84="2",BI84,0)</f>
        <v>0</v>
      </c>
      <c r="AH84" s="90">
        <f>IF(AQ84="0",BJ84,0)</f>
        <v>0</v>
      </c>
      <c r="AI84" s="70" t="s">
        <v>49</v>
      </c>
      <c r="AJ84" s="90">
        <f>IF(AN84=0,J84,0)</f>
        <v>0</v>
      </c>
      <c r="AK84" s="90">
        <f>IF(AN84=12,J84,0)</f>
        <v>0</v>
      </c>
      <c r="AL84" s="90">
        <f>IF(AN84=21,J84,0)</f>
        <v>0</v>
      </c>
      <c r="AN84" s="90">
        <v>21</v>
      </c>
      <c r="AO84" s="90">
        <f>G84*1</f>
        <v>0</v>
      </c>
      <c r="AP84" s="90">
        <f>G84*(1-1)</f>
        <v>0</v>
      </c>
      <c r="AQ84" s="92" t="s">
        <v>69</v>
      </c>
      <c r="AV84" s="90">
        <f>AW84+AX84</f>
        <v>0</v>
      </c>
      <c r="AW84" s="90">
        <f>F84*AO84</f>
        <v>0</v>
      </c>
      <c r="AX84" s="90">
        <f>F84*AP84</f>
        <v>0</v>
      </c>
      <c r="AY84" s="92" t="s">
        <v>70</v>
      </c>
      <c r="AZ84" s="92" t="s">
        <v>71</v>
      </c>
      <c r="BA84" s="70" t="s">
        <v>57</v>
      </c>
      <c r="BC84" s="90">
        <f>AW84+AX84</f>
        <v>0</v>
      </c>
      <c r="BD84" s="90">
        <f>G84/(100-BE84)*100</f>
        <v>0</v>
      </c>
      <c r="BE84" s="90">
        <v>0</v>
      </c>
      <c r="BF84" s="90">
        <f>88</f>
        <v>88</v>
      </c>
      <c r="BH84" s="90">
        <f>F84*AO84</f>
        <v>0</v>
      </c>
      <c r="BI84" s="90">
        <f>F84*AP84</f>
        <v>0</v>
      </c>
      <c r="BJ84" s="90">
        <f>F84*G84</f>
        <v>0</v>
      </c>
      <c r="BK84" s="90"/>
      <c r="BL84" s="90">
        <v>712</v>
      </c>
      <c r="BW84" s="90">
        <v>21</v>
      </c>
      <c r="BX84" s="93" t="s">
        <v>123</v>
      </c>
    </row>
    <row r="85" spans="1:11" ht="15">
      <c r="A85" s="94"/>
      <c r="C85" s="95" t="s">
        <v>149</v>
      </c>
      <c r="D85" s="95" t="s">
        <v>49</v>
      </c>
      <c r="F85" s="96">
        <v>225.4782</v>
      </c>
      <c r="K85" s="97"/>
    </row>
    <row r="86" spans="1:47" ht="15">
      <c r="A86" s="98" t="s">
        <v>49</v>
      </c>
      <c r="B86" s="99" t="s">
        <v>159</v>
      </c>
      <c r="C86" s="100" t="s">
        <v>160</v>
      </c>
      <c r="D86" s="101"/>
      <c r="E86" s="102" t="s">
        <v>3</v>
      </c>
      <c r="F86" s="102" t="s">
        <v>3</v>
      </c>
      <c r="G86" s="102" t="s">
        <v>3</v>
      </c>
      <c r="H86" s="49">
        <f>SUM(H87:H112)</f>
        <v>0</v>
      </c>
      <c r="I86" s="49">
        <f>SUM(I87:I112)</f>
        <v>0</v>
      </c>
      <c r="J86" s="49">
        <f>SUM(J87:J112)</f>
        <v>0</v>
      </c>
      <c r="K86" s="103" t="s">
        <v>49</v>
      </c>
      <c r="AI86" s="70" t="s">
        <v>49</v>
      </c>
      <c r="AS86" s="49">
        <f>SUM(AJ87:AJ112)</f>
        <v>0</v>
      </c>
      <c r="AT86" s="49">
        <f>SUM(AK87:AK112)</f>
        <v>0</v>
      </c>
      <c r="AU86" s="49">
        <f>SUM(AL87:AL112)</f>
        <v>0</v>
      </c>
    </row>
    <row r="87" spans="1:76" ht="15">
      <c r="A87" s="88" t="s">
        <v>161</v>
      </c>
      <c r="B87" s="89" t="s">
        <v>162</v>
      </c>
      <c r="C87" s="59" t="s">
        <v>163</v>
      </c>
      <c r="D87" s="56"/>
      <c r="E87" s="89" t="s">
        <v>78</v>
      </c>
      <c r="F87" s="90">
        <v>157.5</v>
      </c>
      <c r="G87" s="281"/>
      <c r="H87" s="90">
        <f>F87*AO87</f>
        <v>0</v>
      </c>
      <c r="I87" s="90">
        <f>F87*AP87</f>
        <v>0</v>
      </c>
      <c r="J87" s="90">
        <f>F87*G87</f>
        <v>0</v>
      </c>
      <c r="K87" s="91" t="s">
        <v>79</v>
      </c>
      <c r="Z87" s="90">
        <f>IF(AQ87="5",BJ87,0)</f>
        <v>0</v>
      </c>
      <c r="AB87" s="90">
        <f>IF(AQ87="1",BH87,0)</f>
        <v>0</v>
      </c>
      <c r="AC87" s="90">
        <f>IF(AQ87="1",BI87,0)</f>
        <v>0</v>
      </c>
      <c r="AD87" s="90">
        <f>IF(AQ87="7",BH87,0)</f>
        <v>0</v>
      </c>
      <c r="AE87" s="90">
        <f>IF(AQ87="7",BI87,0)</f>
        <v>0</v>
      </c>
      <c r="AF87" s="90">
        <f>IF(AQ87="2",BH87,0)</f>
        <v>0</v>
      </c>
      <c r="AG87" s="90">
        <f>IF(AQ87="2",BI87,0)</f>
        <v>0</v>
      </c>
      <c r="AH87" s="90">
        <f>IF(AQ87="0",BJ87,0)</f>
        <v>0</v>
      </c>
      <c r="AI87" s="70" t="s">
        <v>49</v>
      </c>
      <c r="AJ87" s="90">
        <f>IF(AN87=0,J87,0)</f>
        <v>0</v>
      </c>
      <c r="AK87" s="90">
        <f>IF(AN87=12,J87,0)</f>
        <v>0</v>
      </c>
      <c r="AL87" s="90">
        <f>IF(AN87=21,J87,0)</f>
        <v>0</v>
      </c>
      <c r="AN87" s="90">
        <v>21</v>
      </c>
      <c r="AO87" s="90">
        <f>G87*0</f>
        <v>0</v>
      </c>
      <c r="AP87" s="90">
        <f>G87*(1-0)</f>
        <v>0</v>
      </c>
      <c r="AQ87" s="92" t="s">
        <v>69</v>
      </c>
      <c r="AV87" s="90">
        <f>AW87+AX87</f>
        <v>0</v>
      </c>
      <c r="AW87" s="90">
        <f>F87*AO87</f>
        <v>0</v>
      </c>
      <c r="AX87" s="90">
        <f>F87*AP87</f>
        <v>0</v>
      </c>
      <c r="AY87" s="92" t="s">
        <v>164</v>
      </c>
      <c r="AZ87" s="92" t="s">
        <v>71</v>
      </c>
      <c r="BA87" s="70" t="s">
        <v>57</v>
      </c>
      <c r="BC87" s="90">
        <f>AW87+AX87</f>
        <v>0</v>
      </c>
      <c r="BD87" s="90">
        <f>G87/(100-BE87)*100</f>
        <v>0</v>
      </c>
      <c r="BE87" s="90">
        <v>0</v>
      </c>
      <c r="BF87" s="90">
        <f>91</f>
        <v>91</v>
      </c>
      <c r="BH87" s="90">
        <f>F87*AO87</f>
        <v>0</v>
      </c>
      <c r="BI87" s="90">
        <f>F87*AP87</f>
        <v>0</v>
      </c>
      <c r="BJ87" s="90">
        <f>F87*G87</f>
        <v>0</v>
      </c>
      <c r="BK87" s="90"/>
      <c r="BL87" s="90">
        <v>713</v>
      </c>
      <c r="BW87" s="90">
        <v>21</v>
      </c>
      <c r="BX87" s="93" t="s">
        <v>163</v>
      </c>
    </row>
    <row r="88" spans="1:11" ht="15">
      <c r="A88" s="94"/>
      <c r="C88" s="95" t="s">
        <v>165</v>
      </c>
      <c r="D88" s="95" t="s">
        <v>49</v>
      </c>
      <c r="F88" s="96">
        <v>157.5</v>
      </c>
      <c r="K88" s="97"/>
    </row>
    <row r="89" spans="1:76" ht="15">
      <c r="A89" s="88" t="s">
        <v>166</v>
      </c>
      <c r="B89" s="89" t="s">
        <v>167</v>
      </c>
      <c r="C89" s="59" t="s">
        <v>168</v>
      </c>
      <c r="D89" s="56"/>
      <c r="E89" s="89" t="s">
        <v>169</v>
      </c>
      <c r="F89" s="90">
        <v>24.80625</v>
      </c>
      <c r="G89" s="281"/>
      <c r="H89" s="90">
        <f>F89*AO89</f>
        <v>0</v>
      </c>
      <c r="I89" s="90">
        <f>F89*AP89</f>
        <v>0</v>
      </c>
      <c r="J89" s="90">
        <f>F89*G89</f>
        <v>0</v>
      </c>
      <c r="K89" s="91" t="s">
        <v>79</v>
      </c>
      <c r="Z89" s="90">
        <f>IF(AQ89="5",BJ89,0)</f>
        <v>0</v>
      </c>
      <c r="AB89" s="90">
        <f>IF(AQ89="1",BH89,0)</f>
        <v>0</v>
      </c>
      <c r="AC89" s="90">
        <f>IF(AQ89="1",BI89,0)</f>
        <v>0</v>
      </c>
      <c r="AD89" s="90">
        <f>IF(AQ89="7",BH89,0)</f>
        <v>0</v>
      </c>
      <c r="AE89" s="90">
        <f>IF(AQ89="7",BI89,0)</f>
        <v>0</v>
      </c>
      <c r="AF89" s="90">
        <f>IF(AQ89="2",BH89,0)</f>
        <v>0</v>
      </c>
      <c r="AG89" s="90">
        <f>IF(AQ89="2",BI89,0)</f>
        <v>0</v>
      </c>
      <c r="AH89" s="90">
        <f>IF(AQ89="0",BJ89,0)</f>
        <v>0</v>
      </c>
      <c r="AI89" s="70" t="s">
        <v>49</v>
      </c>
      <c r="AJ89" s="90">
        <f>IF(AN89=0,J89,0)</f>
        <v>0</v>
      </c>
      <c r="AK89" s="90">
        <f>IF(AN89=12,J89,0)</f>
        <v>0</v>
      </c>
      <c r="AL89" s="90">
        <f>IF(AN89=21,J89,0)</f>
        <v>0</v>
      </c>
      <c r="AN89" s="90">
        <v>21</v>
      </c>
      <c r="AO89" s="90">
        <f>G89*1</f>
        <v>0</v>
      </c>
      <c r="AP89" s="90">
        <f>G89*(1-1)</f>
        <v>0</v>
      </c>
      <c r="AQ89" s="92" t="s">
        <v>69</v>
      </c>
      <c r="AV89" s="90">
        <f>AW89+AX89</f>
        <v>0</v>
      </c>
      <c r="AW89" s="90">
        <f>F89*AO89</f>
        <v>0</v>
      </c>
      <c r="AX89" s="90">
        <f>F89*AP89</f>
        <v>0</v>
      </c>
      <c r="AY89" s="92" t="s">
        <v>164</v>
      </c>
      <c r="AZ89" s="92" t="s">
        <v>71</v>
      </c>
      <c r="BA89" s="70" t="s">
        <v>57</v>
      </c>
      <c r="BC89" s="90">
        <f>AW89+AX89</f>
        <v>0</v>
      </c>
      <c r="BD89" s="90">
        <f>G89/(100-BE89)*100</f>
        <v>0</v>
      </c>
      <c r="BE89" s="90">
        <v>0</v>
      </c>
      <c r="BF89" s="90">
        <f>93</f>
        <v>93</v>
      </c>
      <c r="BH89" s="90">
        <f>F89*AO89</f>
        <v>0</v>
      </c>
      <c r="BI89" s="90">
        <f>F89*AP89</f>
        <v>0</v>
      </c>
      <c r="BJ89" s="90">
        <f>F89*G89</f>
        <v>0</v>
      </c>
      <c r="BK89" s="90"/>
      <c r="BL89" s="90">
        <v>713</v>
      </c>
      <c r="BW89" s="90">
        <v>21</v>
      </c>
      <c r="BX89" s="93" t="s">
        <v>168</v>
      </c>
    </row>
    <row r="90" spans="1:11" ht="15">
      <c r="A90" s="94"/>
      <c r="C90" s="95" t="s">
        <v>170</v>
      </c>
      <c r="D90" s="95" t="s">
        <v>49</v>
      </c>
      <c r="F90" s="96">
        <v>23.625</v>
      </c>
      <c r="K90" s="97"/>
    </row>
    <row r="91" spans="1:11" ht="15">
      <c r="A91" s="94"/>
      <c r="C91" s="95" t="s">
        <v>171</v>
      </c>
      <c r="D91" s="95" t="s">
        <v>49</v>
      </c>
      <c r="F91" s="96">
        <v>1.18125</v>
      </c>
      <c r="K91" s="97"/>
    </row>
    <row r="92" spans="1:76" ht="15">
      <c r="A92" s="88" t="s">
        <v>172</v>
      </c>
      <c r="B92" s="89" t="s">
        <v>173</v>
      </c>
      <c r="C92" s="59" t="s">
        <v>174</v>
      </c>
      <c r="D92" s="56"/>
      <c r="E92" s="89" t="s">
        <v>78</v>
      </c>
      <c r="F92" s="90">
        <v>98.034</v>
      </c>
      <c r="G92" s="281"/>
      <c r="H92" s="90">
        <f>F92*AO92</f>
        <v>0</v>
      </c>
      <c r="I92" s="90">
        <f>F92*AP92</f>
        <v>0</v>
      </c>
      <c r="J92" s="90">
        <f>F92*G92</f>
        <v>0</v>
      </c>
      <c r="K92" s="91" t="s">
        <v>79</v>
      </c>
      <c r="Z92" s="90">
        <f>IF(AQ92="5",BJ92,0)</f>
        <v>0</v>
      </c>
      <c r="AB92" s="90">
        <f>IF(AQ92="1",BH92,0)</f>
        <v>0</v>
      </c>
      <c r="AC92" s="90">
        <f>IF(AQ92="1",BI92,0)</f>
        <v>0</v>
      </c>
      <c r="AD92" s="90">
        <f>IF(AQ92="7",BH92,0)</f>
        <v>0</v>
      </c>
      <c r="AE92" s="90">
        <f>IF(AQ92="7",BI92,0)</f>
        <v>0</v>
      </c>
      <c r="AF92" s="90">
        <f>IF(AQ92="2",BH92,0)</f>
        <v>0</v>
      </c>
      <c r="AG92" s="90">
        <f>IF(AQ92="2",BI92,0)</f>
        <v>0</v>
      </c>
      <c r="AH92" s="90">
        <f>IF(AQ92="0",BJ92,0)</f>
        <v>0</v>
      </c>
      <c r="AI92" s="70" t="s">
        <v>49</v>
      </c>
      <c r="AJ92" s="90">
        <f>IF(AN92=0,J92,0)</f>
        <v>0</v>
      </c>
      <c r="AK92" s="90">
        <f>IF(AN92=12,J92,0)</f>
        <v>0</v>
      </c>
      <c r="AL92" s="90">
        <f>IF(AN92=21,J92,0)</f>
        <v>0</v>
      </c>
      <c r="AN92" s="90">
        <v>21</v>
      </c>
      <c r="AO92" s="90">
        <f>G92*0.467368369</f>
        <v>0</v>
      </c>
      <c r="AP92" s="90">
        <f>G92*(1-0.467368369)</f>
        <v>0</v>
      </c>
      <c r="AQ92" s="92" t="s">
        <v>69</v>
      </c>
      <c r="AV92" s="90">
        <f>AW92+AX92</f>
        <v>0</v>
      </c>
      <c r="AW92" s="90">
        <f>F92*AO92</f>
        <v>0</v>
      </c>
      <c r="AX92" s="90">
        <f>F92*AP92</f>
        <v>0</v>
      </c>
      <c r="AY92" s="92" t="s">
        <v>164</v>
      </c>
      <c r="AZ92" s="92" t="s">
        <v>71</v>
      </c>
      <c r="BA92" s="70" t="s">
        <v>57</v>
      </c>
      <c r="BC92" s="90">
        <f>AW92+AX92</f>
        <v>0</v>
      </c>
      <c r="BD92" s="90">
        <f>G92/(100-BE92)*100</f>
        <v>0</v>
      </c>
      <c r="BE92" s="90">
        <v>0</v>
      </c>
      <c r="BF92" s="90">
        <f>96</f>
        <v>96</v>
      </c>
      <c r="BH92" s="90">
        <f>F92*AO92</f>
        <v>0</v>
      </c>
      <c r="BI92" s="90">
        <f>F92*AP92</f>
        <v>0</v>
      </c>
      <c r="BJ92" s="90">
        <f>F92*G92</f>
        <v>0</v>
      </c>
      <c r="BK92" s="90"/>
      <c r="BL92" s="90">
        <v>713</v>
      </c>
      <c r="BW92" s="90">
        <v>21</v>
      </c>
      <c r="BX92" s="93" t="s">
        <v>174</v>
      </c>
    </row>
    <row r="93" spans="1:11" ht="15">
      <c r="A93" s="94"/>
      <c r="C93" s="95" t="s">
        <v>151</v>
      </c>
      <c r="D93" s="95" t="s">
        <v>49</v>
      </c>
      <c r="F93" s="96">
        <v>98.034</v>
      </c>
      <c r="K93" s="97"/>
    </row>
    <row r="94" spans="1:76" ht="15">
      <c r="A94" s="88" t="s">
        <v>175</v>
      </c>
      <c r="B94" s="89" t="s">
        <v>167</v>
      </c>
      <c r="C94" s="59" t="s">
        <v>168</v>
      </c>
      <c r="D94" s="56"/>
      <c r="E94" s="89" t="s">
        <v>169</v>
      </c>
      <c r="F94" s="90">
        <v>8.23486</v>
      </c>
      <c r="G94" s="281"/>
      <c r="H94" s="90">
        <f>F94*AO94</f>
        <v>0</v>
      </c>
      <c r="I94" s="90">
        <f>F94*AP94</f>
        <v>0</v>
      </c>
      <c r="J94" s="90">
        <f>F94*G94</f>
        <v>0</v>
      </c>
      <c r="K94" s="91" t="s">
        <v>79</v>
      </c>
      <c r="Z94" s="90">
        <f>IF(AQ94="5",BJ94,0)</f>
        <v>0</v>
      </c>
      <c r="AB94" s="90">
        <f>IF(AQ94="1",BH94,0)</f>
        <v>0</v>
      </c>
      <c r="AC94" s="90">
        <f>IF(AQ94="1",BI94,0)</f>
        <v>0</v>
      </c>
      <c r="AD94" s="90">
        <f>IF(AQ94="7",BH94,0)</f>
        <v>0</v>
      </c>
      <c r="AE94" s="90">
        <f>IF(AQ94="7",BI94,0)</f>
        <v>0</v>
      </c>
      <c r="AF94" s="90">
        <f>IF(AQ94="2",BH94,0)</f>
        <v>0</v>
      </c>
      <c r="AG94" s="90">
        <f>IF(AQ94="2",BI94,0)</f>
        <v>0</v>
      </c>
      <c r="AH94" s="90">
        <f>IF(AQ94="0",BJ94,0)</f>
        <v>0</v>
      </c>
      <c r="AI94" s="70" t="s">
        <v>49</v>
      </c>
      <c r="AJ94" s="90">
        <f>IF(AN94=0,J94,0)</f>
        <v>0</v>
      </c>
      <c r="AK94" s="90">
        <f>IF(AN94=12,J94,0)</f>
        <v>0</v>
      </c>
      <c r="AL94" s="90">
        <f>IF(AN94=21,J94,0)</f>
        <v>0</v>
      </c>
      <c r="AN94" s="90">
        <v>21</v>
      </c>
      <c r="AO94" s="90">
        <f>G94*1</f>
        <v>0</v>
      </c>
      <c r="AP94" s="90">
        <f>G94*(1-1)</f>
        <v>0</v>
      </c>
      <c r="AQ94" s="92" t="s">
        <v>69</v>
      </c>
      <c r="AV94" s="90">
        <f>AW94+AX94</f>
        <v>0</v>
      </c>
      <c r="AW94" s="90">
        <f>F94*AO94</f>
        <v>0</v>
      </c>
      <c r="AX94" s="90">
        <f>F94*AP94</f>
        <v>0</v>
      </c>
      <c r="AY94" s="92" t="s">
        <v>164</v>
      </c>
      <c r="AZ94" s="92" t="s">
        <v>71</v>
      </c>
      <c r="BA94" s="70" t="s">
        <v>57</v>
      </c>
      <c r="BC94" s="90">
        <f>AW94+AX94</f>
        <v>0</v>
      </c>
      <c r="BD94" s="90">
        <f>G94/(100-BE94)*100</f>
        <v>0</v>
      </c>
      <c r="BE94" s="90">
        <v>0</v>
      </c>
      <c r="BF94" s="90">
        <f>98</f>
        <v>98</v>
      </c>
      <c r="BH94" s="90">
        <f>F94*AO94</f>
        <v>0</v>
      </c>
      <c r="BI94" s="90">
        <f>F94*AP94</f>
        <v>0</v>
      </c>
      <c r="BJ94" s="90">
        <f>F94*G94</f>
        <v>0</v>
      </c>
      <c r="BK94" s="90"/>
      <c r="BL94" s="90">
        <v>713</v>
      </c>
      <c r="BW94" s="90">
        <v>21</v>
      </c>
      <c r="BX94" s="93" t="s">
        <v>168</v>
      </c>
    </row>
    <row r="95" spans="1:11" ht="15">
      <c r="A95" s="94"/>
      <c r="C95" s="95" t="s">
        <v>176</v>
      </c>
      <c r="D95" s="95" t="s">
        <v>49</v>
      </c>
      <c r="F95" s="96">
        <v>7.84272</v>
      </c>
      <c r="K95" s="97"/>
    </row>
    <row r="96" spans="1:11" ht="15">
      <c r="A96" s="94"/>
      <c r="C96" s="95" t="s">
        <v>177</v>
      </c>
      <c r="D96" s="95" t="s">
        <v>49</v>
      </c>
      <c r="F96" s="96">
        <v>0.39214</v>
      </c>
      <c r="K96" s="97"/>
    </row>
    <row r="97" spans="1:76" ht="15">
      <c r="A97" s="88" t="s">
        <v>178</v>
      </c>
      <c r="B97" s="89" t="s">
        <v>179</v>
      </c>
      <c r="C97" s="59" t="s">
        <v>180</v>
      </c>
      <c r="D97" s="56"/>
      <c r="E97" s="89" t="s">
        <v>78</v>
      </c>
      <c r="F97" s="90">
        <v>965</v>
      </c>
      <c r="G97" s="281"/>
      <c r="H97" s="90">
        <f>F97*AO97</f>
        <v>0</v>
      </c>
      <c r="I97" s="90">
        <f>F97*AP97</f>
        <v>0</v>
      </c>
      <c r="J97" s="90">
        <f>F97*G97</f>
        <v>0</v>
      </c>
      <c r="K97" s="91" t="s">
        <v>79</v>
      </c>
      <c r="Z97" s="90">
        <f>IF(AQ97="5",BJ97,0)</f>
        <v>0</v>
      </c>
      <c r="AB97" s="90">
        <f>IF(AQ97="1",BH97,0)</f>
        <v>0</v>
      </c>
      <c r="AC97" s="90">
        <f>IF(AQ97="1",BI97,0)</f>
        <v>0</v>
      </c>
      <c r="AD97" s="90">
        <f>IF(AQ97="7",BH97,0)</f>
        <v>0</v>
      </c>
      <c r="AE97" s="90">
        <f>IF(AQ97="7",BI97,0)</f>
        <v>0</v>
      </c>
      <c r="AF97" s="90">
        <f>IF(AQ97="2",BH97,0)</f>
        <v>0</v>
      </c>
      <c r="AG97" s="90">
        <f>IF(AQ97="2",BI97,0)</f>
        <v>0</v>
      </c>
      <c r="AH97" s="90">
        <f>IF(AQ97="0",BJ97,0)</f>
        <v>0</v>
      </c>
      <c r="AI97" s="70" t="s">
        <v>49</v>
      </c>
      <c r="AJ97" s="90">
        <f>IF(AN97=0,J97,0)</f>
        <v>0</v>
      </c>
      <c r="AK97" s="90">
        <f>IF(AN97=12,J97,0)</f>
        <v>0</v>
      </c>
      <c r="AL97" s="90">
        <f>IF(AN97=21,J97,0)</f>
        <v>0</v>
      </c>
      <c r="AN97" s="90">
        <v>21</v>
      </c>
      <c r="AO97" s="90">
        <f>G97*0.494616457</f>
        <v>0</v>
      </c>
      <c r="AP97" s="90">
        <f>G97*(1-0.494616457)</f>
        <v>0</v>
      </c>
      <c r="AQ97" s="92" t="s">
        <v>69</v>
      </c>
      <c r="AV97" s="90">
        <f>AW97+AX97</f>
        <v>0</v>
      </c>
      <c r="AW97" s="90">
        <f>F97*AO97</f>
        <v>0</v>
      </c>
      <c r="AX97" s="90">
        <f>F97*AP97</f>
        <v>0</v>
      </c>
      <c r="AY97" s="92" t="s">
        <v>164</v>
      </c>
      <c r="AZ97" s="92" t="s">
        <v>71</v>
      </c>
      <c r="BA97" s="70" t="s">
        <v>57</v>
      </c>
      <c r="BC97" s="90">
        <f>AW97+AX97</f>
        <v>0</v>
      </c>
      <c r="BD97" s="90">
        <f>G97/(100-BE97)*100</f>
        <v>0</v>
      </c>
      <c r="BE97" s="90">
        <v>0</v>
      </c>
      <c r="BF97" s="90">
        <f>101</f>
        <v>101</v>
      </c>
      <c r="BH97" s="90">
        <f>F97*AO97</f>
        <v>0</v>
      </c>
      <c r="BI97" s="90">
        <f>F97*AP97</f>
        <v>0</v>
      </c>
      <c r="BJ97" s="90">
        <f>F97*G97</f>
        <v>0</v>
      </c>
      <c r="BK97" s="90"/>
      <c r="BL97" s="90">
        <v>713</v>
      </c>
      <c r="BW97" s="90">
        <v>21</v>
      </c>
      <c r="BX97" s="93" t="s">
        <v>180</v>
      </c>
    </row>
    <row r="98" spans="1:11" ht="15">
      <c r="A98" s="94"/>
      <c r="C98" s="95" t="s">
        <v>80</v>
      </c>
      <c r="D98" s="95" t="s">
        <v>49</v>
      </c>
      <c r="F98" s="96">
        <v>965</v>
      </c>
      <c r="K98" s="97"/>
    </row>
    <row r="99" spans="1:76" ht="15">
      <c r="A99" s="88" t="s">
        <v>181</v>
      </c>
      <c r="B99" s="89" t="s">
        <v>167</v>
      </c>
      <c r="C99" s="59" t="s">
        <v>168</v>
      </c>
      <c r="D99" s="56"/>
      <c r="E99" s="89" t="s">
        <v>169</v>
      </c>
      <c r="F99" s="90">
        <v>202.65</v>
      </c>
      <c r="G99" s="281"/>
      <c r="H99" s="90">
        <f>F99*AO99</f>
        <v>0</v>
      </c>
      <c r="I99" s="90">
        <f>F99*AP99</f>
        <v>0</v>
      </c>
      <c r="J99" s="90">
        <f>F99*G99</f>
        <v>0</v>
      </c>
      <c r="K99" s="91" t="s">
        <v>79</v>
      </c>
      <c r="Z99" s="90">
        <f>IF(AQ99="5",BJ99,0)</f>
        <v>0</v>
      </c>
      <c r="AB99" s="90">
        <f>IF(AQ99="1",BH99,0)</f>
        <v>0</v>
      </c>
      <c r="AC99" s="90">
        <f>IF(AQ99="1",BI99,0)</f>
        <v>0</v>
      </c>
      <c r="AD99" s="90">
        <f>IF(AQ99="7",BH99,0)</f>
        <v>0</v>
      </c>
      <c r="AE99" s="90">
        <f>IF(AQ99="7",BI99,0)</f>
        <v>0</v>
      </c>
      <c r="AF99" s="90">
        <f>IF(AQ99="2",BH99,0)</f>
        <v>0</v>
      </c>
      <c r="AG99" s="90">
        <f>IF(AQ99="2",BI99,0)</f>
        <v>0</v>
      </c>
      <c r="AH99" s="90">
        <f>IF(AQ99="0",BJ99,0)</f>
        <v>0</v>
      </c>
      <c r="AI99" s="70" t="s">
        <v>49</v>
      </c>
      <c r="AJ99" s="90">
        <f>IF(AN99=0,J99,0)</f>
        <v>0</v>
      </c>
      <c r="AK99" s="90">
        <f>IF(AN99=12,J99,0)</f>
        <v>0</v>
      </c>
      <c r="AL99" s="90">
        <f>IF(AN99=21,J99,0)</f>
        <v>0</v>
      </c>
      <c r="AN99" s="90">
        <v>21</v>
      </c>
      <c r="AO99" s="90">
        <f>G99*1</f>
        <v>0</v>
      </c>
      <c r="AP99" s="90">
        <f>G99*(1-1)</f>
        <v>0</v>
      </c>
      <c r="AQ99" s="92" t="s">
        <v>69</v>
      </c>
      <c r="AV99" s="90">
        <f>AW99+AX99</f>
        <v>0</v>
      </c>
      <c r="AW99" s="90">
        <f>F99*AO99</f>
        <v>0</v>
      </c>
      <c r="AX99" s="90">
        <f>F99*AP99</f>
        <v>0</v>
      </c>
      <c r="AY99" s="92" t="s">
        <v>164</v>
      </c>
      <c r="AZ99" s="92" t="s">
        <v>71</v>
      </c>
      <c r="BA99" s="70" t="s">
        <v>57</v>
      </c>
      <c r="BC99" s="90">
        <f>AW99+AX99</f>
        <v>0</v>
      </c>
      <c r="BD99" s="90">
        <f>G99/(100-BE99)*100</f>
        <v>0</v>
      </c>
      <c r="BE99" s="90">
        <v>0</v>
      </c>
      <c r="BF99" s="90">
        <f>103</f>
        <v>103</v>
      </c>
      <c r="BH99" s="90">
        <f>F99*AO99</f>
        <v>0</v>
      </c>
      <c r="BI99" s="90">
        <f>F99*AP99</f>
        <v>0</v>
      </c>
      <c r="BJ99" s="90">
        <f>F99*G99</f>
        <v>0</v>
      </c>
      <c r="BK99" s="90"/>
      <c r="BL99" s="90">
        <v>713</v>
      </c>
      <c r="BW99" s="90">
        <v>21</v>
      </c>
      <c r="BX99" s="93" t="s">
        <v>168</v>
      </c>
    </row>
    <row r="100" spans="1:11" ht="15">
      <c r="A100" s="94"/>
      <c r="C100" s="95" t="s">
        <v>182</v>
      </c>
      <c r="D100" s="95" t="s">
        <v>49</v>
      </c>
      <c r="F100" s="96">
        <v>193</v>
      </c>
      <c r="K100" s="97"/>
    </row>
    <row r="101" spans="1:11" ht="15">
      <c r="A101" s="94"/>
      <c r="C101" s="95" t="s">
        <v>183</v>
      </c>
      <c r="D101" s="95" t="s">
        <v>49</v>
      </c>
      <c r="F101" s="96">
        <v>9.65</v>
      </c>
      <c r="K101" s="97"/>
    </row>
    <row r="102" spans="1:76" ht="15">
      <c r="A102" s="88" t="s">
        <v>184</v>
      </c>
      <c r="B102" s="89" t="s">
        <v>185</v>
      </c>
      <c r="C102" s="59" t="s">
        <v>186</v>
      </c>
      <c r="D102" s="56"/>
      <c r="E102" s="89" t="s">
        <v>78</v>
      </c>
      <c r="F102" s="90">
        <v>360</v>
      </c>
      <c r="G102" s="281"/>
      <c r="H102" s="90">
        <f>F102*AO102</f>
        <v>0</v>
      </c>
      <c r="I102" s="90">
        <f>F102*AP102</f>
        <v>0</v>
      </c>
      <c r="J102" s="90">
        <f>F102*G102</f>
        <v>0</v>
      </c>
      <c r="K102" s="91" t="s">
        <v>79</v>
      </c>
      <c r="Z102" s="90">
        <f>IF(AQ102="5",BJ102,0)</f>
        <v>0</v>
      </c>
      <c r="AB102" s="90">
        <f>IF(AQ102="1",BH102,0)</f>
        <v>0</v>
      </c>
      <c r="AC102" s="90">
        <f>IF(AQ102="1",BI102,0)</f>
        <v>0</v>
      </c>
      <c r="AD102" s="90">
        <f>IF(AQ102="7",BH102,0)</f>
        <v>0</v>
      </c>
      <c r="AE102" s="90">
        <f>IF(AQ102="7",BI102,0)</f>
        <v>0</v>
      </c>
      <c r="AF102" s="90">
        <f>IF(AQ102="2",BH102,0)</f>
        <v>0</v>
      </c>
      <c r="AG102" s="90">
        <f>IF(AQ102="2",BI102,0)</f>
        <v>0</v>
      </c>
      <c r="AH102" s="90">
        <f>IF(AQ102="0",BJ102,0)</f>
        <v>0</v>
      </c>
      <c r="AI102" s="70" t="s">
        <v>49</v>
      </c>
      <c r="AJ102" s="90">
        <f>IF(AN102=0,J102,0)</f>
        <v>0</v>
      </c>
      <c r="AK102" s="90">
        <f>IF(AN102=12,J102,0)</f>
        <v>0</v>
      </c>
      <c r="AL102" s="90">
        <f>IF(AN102=21,J102,0)</f>
        <v>0</v>
      </c>
      <c r="AN102" s="90">
        <v>21</v>
      </c>
      <c r="AO102" s="90">
        <f>G102*0.415548387</f>
        <v>0</v>
      </c>
      <c r="AP102" s="90">
        <f>G102*(1-0.415548387)</f>
        <v>0</v>
      </c>
      <c r="AQ102" s="92" t="s">
        <v>69</v>
      </c>
      <c r="AV102" s="90">
        <f>AW102+AX102</f>
        <v>0</v>
      </c>
      <c r="AW102" s="90">
        <f>F102*AO102</f>
        <v>0</v>
      </c>
      <c r="AX102" s="90">
        <f>F102*AP102</f>
        <v>0</v>
      </c>
      <c r="AY102" s="92" t="s">
        <v>164</v>
      </c>
      <c r="AZ102" s="92" t="s">
        <v>71</v>
      </c>
      <c r="BA102" s="70" t="s">
        <v>57</v>
      </c>
      <c r="BC102" s="90">
        <f>AW102+AX102</f>
        <v>0</v>
      </c>
      <c r="BD102" s="90">
        <f>G102/(100-BE102)*100</f>
        <v>0</v>
      </c>
      <c r="BE102" s="90">
        <v>0</v>
      </c>
      <c r="BF102" s="90">
        <f>106</f>
        <v>106</v>
      </c>
      <c r="BH102" s="90">
        <f>F102*AO102</f>
        <v>0</v>
      </c>
      <c r="BI102" s="90">
        <f>F102*AP102</f>
        <v>0</v>
      </c>
      <c r="BJ102" s="90">
        <f>F102*G102</f>
        <v>0</v>
      </c>
      <c r="BK102" s="90"/>
      <c r="BL102" s="90">
        <v>713</v>
      </c>
      <c r="BW102" s="90">
        <v>21</v>
      </c>
      <c r="BX102" s="93" t="s">
        <v>186</v>
      </c>
    </row>
    <row r="103" spans="1:11" ht="15">
      <c r="A103" s="94"/>
      <c r="C103" s="95" t="s">
        <v>187</v>
      </c>
      <c r="D103" s="95" t="s">
        <v>49</v>
      </c>
      <c r="F103" s="96">
        <v>360</v>
      </c>
      <c r="K103" s="97"/>
    </row>
    <row r="104" spans="1:76" ht="15">
      <c r="A104" s="88" t="s">
        <v>188</v>
      </c>
      <c r="B104" s="89" t="s">
        <v>167</v>
      </c>
      <c r="C104" s="59" t="s">
        <v>168</v>
      </c>
      <c r="D104" s="56"/>
      <c r="E104" s="89" t="s">
        <v>169</v>
      </c>
      <c r="F104" s="90">
        <v>37.8</v>
      </c>
      <c r="G104" s="281"/>
      <c r="H104" s="90">
        <f>F104*AO104</f>
        <v>0</v>
      </c>
      <c r="I104" s="90">
        <f>F104*AP104</f>
        <v>0</v>
      </c>
      <c r="J104" s="90">
        <f>F104*G104</f>
        <v>0</v>
      </c>
      <c r="K104" s="91" t="s">
        <v>79</v>
      </c>
      <c r="Z104" s="90">
        <f>IF(AQ104="5",BJ104,0)</f>
        <v>0</v>
      </c>
      <c r="AB104" s="90">
        <f>IF(AQ104="1",BH104,0)</f>
        <v>0</v>
      </c>
      <c r="AC104" s="90">
        <f>IF(AQ104="1",BI104,0)</f>
        <v>0</v>
      </c>
      <c r="AD104" s="90">
        <f>IF(AQ104="7",BH104,0)</f>
        <v>0</v>
      </c>
      <c r="AE104" s="90">
        <f>IF(AQ104="7",BI104,0)</f>
        <v>0</v>
      </c>
      <c r="AF104" s="90">
        <f>IF(AQ104="2",BH104,0)</f>
        <v>0</v>
      </c>
      <c r="AG104" s="90">
        <f>IF(AQ104="2",BI104,0)</f>
        <v>0</v>
      </c>
      <c r="AH104" s="90">
        <f>IF(AQ104="0",BJ104,0)</f>
        <v>0</v>
      </c>
      <c r="AI104" s="70" t="s">
        <v>49</v>
      </c>
      <c r="AJ104" s="90">
        <f>IF(AN104=0,J104,0)</f>
        <v>0</v>
      </c>
      <c r="AK104" s="90">
        <f>IF(AN104=12,J104,0)</f>
        <v>0</v>
      </c>
      <c r="AL104" s="90">
        <f>IF(AN104=21,J104,0)</f>
        <v>0</v>
      </c>
      <c r="AN104" s="90">
        <v>21</v>
      </c>
      <c r="AO104" s="90">
        <f>G104*1</f>
        <v>0</v>
      </c>
      <c r="AP104" s="90">
        <f>G104*(1-1)</f>
        <v>0</v>
      </c>
      <c r="AQ104" s="92" t="s">
        <v>69</v>
      </c>
      <c r="AV104" s="90">
        <f>AW104+AX104</f>
        <v>0</v>
      </c>
      <c r="AW104" s="90">
        <f>F104*AO104</f>
        <v>0</v>
      </c>
      <c r="AX104" s="90">
        <f>F104*AP104</f>
        <v>0</v>
      </c>
      <c r="AY104" s="92" t="s">
        <v>164</v>
      </c>
      <c r="AZ104" s="92" t="s">
        <v>71</v>
      </c>
      <c r="BA104" s="70" t="s">
        <v>57</v>
      </c>
      <c r="BC104" s="90">
        <f>AW104+AX104</f>
        <v>0</v>
      </c>
      <c r="BD104" s="90">
        <f>G104/(100-BE104)*100</f>
        <v>0</v>
      </c>
      <c r="BE104" s="90">
        <v>0</v>
      </c>
      <c r="BF104" s="90">
        <f>108</f>
        <v>108</v>
      </c>
      <c r="BH104" s="90">
        <f>F104*AO104</f>
        <v>0</v>
      </c>
      <c r="BI104" s="90">
        <f>F104*AP104</f>
        <v>0</v>
      </c>
      <c r="BJ104" s="90">
        <f>F104*G104</f>
        <v>0</v>
      </c>
      <c r="BK104" s="90"/>
      <c r="BL104" s="90">
        <v>713</v>
      </c>
      <c r="BW104" s="90">
        <v>21</v>
      </c>
      <c r="BX104" s="93" t="s">
        <v>168</v>
      </c>
    </row>
    <row r="105" spans="1:11" ht="15">
      <c r="A105" s="94"/>
      <c r="C105" s="95" t="s">
        <v>189</v>
      </c>
      <c r="D105" s="95" t="s">
        <v>49</v>
      </c>
      <c r="F105" s="96">
        <v>36</v>
      </c>
      <c r="K105" s="97"/>
    </row>
    <row r="106" spans="1:11" ht="15">
      <c r="A106" s="94"/>
      <c r="C106" s="95" t="s">
        <v>190</v>
      </c>
      <c r="D106" s="95" t="s">
        <v>49</v>
      </c>
      <c r="F106" s="96">
        <v>1.8</v>
      </c>
      <c r="K106" s="97"/>
    </row>
    <row r="107" spans="1:76" ht="15">
      <c r="A107" s="88" t="s">
        <v>191</v>
      </c>
      <c r="B107" s="89" t="s">
        <v>192</v>
      </c>
      <c r="C107" s="59" t="s">
        <v>193</v>
      </c>
      <c r="D107" s="56"/>
      <c r="E107" s="89" t="s">
        <v>78</v>
      </c>
      <c r="F107" s="90">
        <v>2.1</v>
      </c>
      <c r="G107" s="281"/>
      <c r="H107" s="90">
        <f>F107*AO107</f>
        <v>0</v>
      </c>
      <c r="I107" s="90">
        <f>F107*AP107</f>
        <v>0</v>
      </c>
      <c r="J107" s="90">
        <f>F107*G107</f>
        <v>0</v>
      </c>
      <c r="K107" s="91" t="s">
        <v>79</v>
      </c>
      <c r="Z107" s="90">
        <f>IF(AQ107="5",BJ107,0)</f>
        <v>0</v>
      </c>
      <c r="AB107" s="90">
        <f>IF(AQ107="1",BH107,0)</f>
        <v>0</v>
      </c>
      <c r="AC107" s="90">
        <f>IF(AQ107="1",BI107,0)</f>
        <v>0</v>
      </c>
      <c r="AD107" s="90">
        <f>IF(AQ107="7",BH107,0)</f>
        <v>0</v>
      </c>
      <c r="AE107" s="90">
        <f>IF(AQ107="7",BI107,0)</f>
        <v>0</v>
      </c>
      <c r="AF107" s="90">
        <f>IF(AQ107="2",BH107,0)</f>
        <v>0</v>
      </c>
      <c r="AG107" s="90">
        <f>IF(AQ107="2",BI107,0)</f>
        <v>0</v>
      </c>
      <c r="AH107" s="90">
        <f>IF(AQ107="0",BJ107,0)</f>
        <v>0</v>
      </c>
      <c r="AI107" s="70" t="s">
        <v>49</v>
      </c>
      <c r="AJ107" s="90">
        <f>IF(AN107=0,J107,0)</f>
        <v>0</v>
      </c>
      <c r="AK107" s="90">
        <f>IF(AN107=12,J107,0)</f>
        <v>0</v>
      </c>
      <c r="AL107" s="90">
        <f>IF(AN107=21,J107,0)</f>
        <v>0</v>
      </c>
      <c r="AN107" s="90">
        <v>21</v>
      </c>
      <c r="AO107" s="90">
        <f>G107*1</f>
        <v>0</v>
      </c>
      <c r="AP107" s="90">
        <f>G107*(1-1)</f>
        <v>0</v>
      </c>
      <c r="AQ107" s="92" t="s">
        <v>69</v>
      </c>
      <c r="AV107" s="90">
        <f>AW107+AX107</f>
        <v>0</v>
      </c>
      <c r="AW107" s="90">
        <f>F107*AO107</f>
        <v>0</v>
      </c>
      <c r="AX107" s="90">
        <f>F107*AP107</f>
        <v>0</v>
      </c>
      <c r="AY107" s="92" t="s">
        <v>164</v>
      </c>
      <c r="AZ107" s="92" t="s">
        <v>71</v>
      </c>
      <c r="BA107" s="70" t="s">
        <v>57</v>
      </c>
      <c r="BC107" s="90">
        <f>AW107+AX107</f>
        <v>0</v>
      </c>
      <c r="BD107" s="90">
        <f>G107/(100-BE107)*100</f>
        <v>0</v>
      </c>
      <c r="BE107" s="90">
        <v>0</v>
      </c>
      <c r="BF107" s="90">
        <f>111</f>
        <v>111</v>
      </c>
      <c r="BH107" s="90">
        <f>F107*AO107</f>
        <v>0</v>
      </c>
      <c r="BI107" s="90">
        <f>F107*AP107</f>
        <v>0</v>
      </c>
      <c r="BJ107" s="90">
        <f>F107*G107</f>
        <v>0</v>
      </c>
      <c r="BK107" s="90"/>
      <c r="BL107" s="90">
        <v>713</v>
      </c>
      <c r="BW107" s="90">
        <v>21</v>
      </c>
      <c r="BX107" s="93" t="s">
        <v>193</v>
      </c>
    </row>
    <row r="108" spans="1:11" ht="15">
      <c r="A108" s="94"/>
      <c r="C108" s="95" t="s">
        <v>194</v>
      </c>
      <c r="D108" s="95" t="s">
        <v>49</v>
      </c>
      <c r="F108" s="96">
        <v>2</v>
      </c>
      <c r="K108" s="97"/>
    </row>
    <row r="109" spans="1:11" ht="15">
      <c r="A109" s="94"/>
      <c r="C109" s="95" t="s">
        <v>195</v>
      </c>
      <c r="D109" s="95" t="s">
        <v>49</v>
      </c>
      <c r="F109" s="96">
        <v>0.1</v>
      </c>
      <c r="K109" s="97"/>
    </row>
    <row r="110" spans="1:76" ht="15">
      <c r="A110" s="88" t="s">
        <v>196</v>
      </c>
      <c r="B110" s="89" t="s">
        <v>173</v>
      </c>
      <c r="C110" s="59" t="s">
        <v>197</v>
      </c>
      <c r="D110" s="56"/>
      <c r="E110" s="89" t="s">
        <v>78</v>
      </c>
      <c r="F110" s="90">
        <v>16.339</v>
      </c>
      <c r="G110" s="281"/>
      <c r="H110" s="90">
        <f>F110*AO110</f>
        <v>0</v>
      </c>
      <c r="I110" s="90">
        <f>F110*AP110</f>
        <v>0</v>
      </c>
      <c r="J110" s="90">
        <f>F110*G110</f>
        <v>0</v>
      </c>
      <c r="K110" s="91" t="s">
        <v>79</v>
      </c>
      <c r="Z110" s="90">
        <f>IF(AQ110="5",BJ110,0)</f>
        <v>0</v>
      </c>
      <c r="AB110" s="90">
        <f>IF(AQ110="1",BH110,0)</f>
        <v>0</v>
      </c>
      <c r="AC110" s="90">
        <f>IF(AQ110="1",BI110,0)</f>
        <v>0</v>
      </c>
      <c r="AD110" s="90">
        <f>IF(AQ110="7",BH110,0)</f>
        <v>0</v>
      </c>
      <c r="AE110" s="90">
        <f>IF(AQ110="7",BI110,0)</f>
        <v>0</v>
      </c>
      <c r="AF110" s="90">
        <f>IF(AQ110="2",BH110,0)</f>
        <v>0</v>
      </c>
      <c r="AG110" s="90">
        <f>IF(AQ110="2",BI110,0)</f>
        <v>0</v>
      </c>
      <c r="AH110" s="90">
        <f>IF(AQ110="0",BJ110,0)</f>
        <v>0</v>
      </c>
      <c r="AI110" s="70" t="s">
        <v>49</v>
      </c>
      <c r="AJ110" s="90">
        <f>IF(AN110=0,J110,0)</f>
        <v>0</v>
      </c>
      <c r="AK110" s="90">
        <f>IF(AN110=12,J110,0)</f>
        <v>0</v>
      </c>
      <c r="AL110" s="90">
        <f>IF(AN110=21,J110,0)</f>
        <v>0</v>
      </c>
      <c r="AN110" s="90">
        <v>21</v>
      </c>
      <c r="AO110" s="90">
        <f>G110*0.467368888</f>
        <v>0</v>
      </c>
      <c r="AP110" s="90">
        <f>G110*(1-0.467368888)</f>
        <v>0</v>
      </c>
      <c r="AQ110" s="92" t="s">
        <v>69</v>
      </c>
      <c r="AV110" s="90">
        <f>AW110+AX110</f>
        <v>0</v>
      </c>
      <c r="AW110" s="90">
        <f>F110*AO110</f>
        <v>0</v>
      </c>
      <c r="AX110" s="90">
        <f>F110*AP110</f>
        <v>0</v>
      </c>
      <c r="AY110" s="92" t="s">
        <v>164</v>
      </c>
      <c r="AZ110" s="92" t="s">
        <v>71</v>
      </c>
      <c r="BA110" s="70" t="s">
        <v>57</v>
      </c>
      <c r="BC110" s="90">
        <f>AW110+AX110</f>
        <v>0</v>
      </c>
      <c r="BD110" s="90">
        <f>G110/(100-BE110)*100</f>
        <v>0</v>
      </c>
      <c r="BE110" s="90">
        <v>0</v>
      </c>
      <c r="BF110" s="90">
        <f>114</f>
        <v>114</v>
      </c>
      <c r="BH110" s="90">
        <f>F110*AO110</f>
        <v>0</v>
      </c>
      <c r="BI110" s="90">
        <f>F110*AP110</f>
        <v>0</v>
      </c>
      <c r="BJ110" s="90">
        <f>F110*G110</f>
        <v>0</v>
      </c>
      <c r="BK110" s="90"/>
      <c r="BL110" s="90">
        <v>713</v>
      </c>
      <c r="BW110" s="90">
        <v>21</v>
      </c>
      <c r="BX110" s="93" t="s">
        <v>197</v>
      </c>
    </row>
    <row r="111" spans="1:11" ht="15">
      <c r="A111" s="94"/>
      <c r="C111" s="95" t="s">
        <v>198</v>
      </c>
      <c r="D111" s="95" t="s">
        <v>49</v>
      </c>
      <c r="F111" s="96">
        <v>16.339</v>
      </c>
      <c r="K111" s="97"/>
    </row>
    <row r="112" spans="1:76" ht="15">
      <c r="A112" s="88" t="s">
        <v>199</v>
      </c>
      <c r="B112" s="89" t="s">
        <v>200</v>
      </c>
      <c r="C112" s="59" t="s">
        <v>201</v>
      </c>
      <c r="D112" s="56"/>
      <c r="E112" s="89" t="s">
        <v>78</v>
      </c>
      <c r="F112" s="90">
        <v>17.15595</v>
      </c>
      <c r="G112" s="281"/>
      <c r="H112" s="90">
        <f>F112*AO112</f>
        <v>0</v>
      </c>
      <c r="I112" s="90">
        <f>F112*AP112</f>
        <v>0</v>
      </c>
      <c r="J112" s="90">
        <f>F112*G112</f>
        <v>0</v>
      </c>
      <c r="K112" s="91" t="s">
        <v>79</v>
      </c>
      <c r="Z112" s="90">
        <f>IF(AQ112="5",BJ112,0)</f>
        <v>0</v>
      </c>
      <c r="AB112" s="90">
        <f>IF(AQ112="1",BH112,0)</f>
        <v>0</v>
      </c>
      <c r="AC112" s="90">
        <f>IF(AQ112="1",BI112,0)</f>
        <v>0</v>
      </c>
      <c r="AD112" s="90">
        <f>IF(AQ112="7",BH112,0)</f>
        <v>0</v>
      </c>
      <c r="AE112" s="90">
        <f>IF(AQ112="7",BI112,0)</f>
        <v>0</v>
      </c>
      <c r="AF112" s="90">
        <f>IF(AQ112="2",BH112,0)</f>
        <v>0</v>
      </c>
      <c r="AG112" s="90">
        <f>IF(AQ112="2",BI112,0)</f>
        <v>0</v>
      </c>
      <c r="AH112" s="90">
        <f>IF(AQ112="0",BJ112,0)</f>
        <v>0</v>
      </c>
      <c r="AI112" s="70" t="s">
        <v>49</v>
      </c>
      <c r="AJ112" s="90">
        <f>IF(AN112=0,J112,0)</f>
        <v>0</v>
      </c>
      <c r="AK112" s="90">
        <f>IF(AN112=12,J112,0)</f>
        <v>0</v>
      </c>
      <c r="AL112" s="90">
        <f>IF(AN112=21,J112,0)</f>
        <v>0</v>
      </c>
      <c r="AN112" s="90">
        <v>21</v>
      </c>
      <c r="AO112" s="90">
        <f>G112*1</f>
        <v>0</v>
      </c>
      <c r="AP112" s="90">
        <f>G112*(1-1)</f>
        <v>0</v>
      </c>
      <c r="AQ112" s="92" t="s">
        <v>69</v>
      </c>
      <c r="AV112" s="90">
        <f>AW112+AX112</f>
        <v>0</v>
      </c>
      <c r="AW112" s="90">
        <f>F112*AO112</f>
        <v>0</v>
      </c>
      <c r="AX112" s="90">
        <f>F112*AP112</f>
        <v>0</v>
      </c>
      <c r="AY112" s="92" t="s">
        <v>164</v>
      </c>
      <c r="AZ112" s="92" t="s">
        <v>71</v>
      </c>
      <c r="BA112" s="70" t="s">
        <v>57</v>
      </c>
      <c r="BC112" s="90">
        <f>AW112+AX112</f>
        <v>0</v>
      </c>
      <c r="BD112" s="90">
        <f>G112/(100-BE112)*100</f>
        <v>0</v>
      </c>
      <c r="BE112" s="90">
        <v>0</v>
      </c>
      <c r="BF112" s="90">
        <f>116</f>
        <v>116</v>
      </c>
      <c r="BH112" s="90">
        <f>F112*AO112</f>
        <v>0</v>
      </c>
      <c r="BI112" s="90">
        <f>F112*AP112</f>
        <v>0</v>
      </c>
      <c r="BJ112" s="90">
        <f>F112*G112</f>
        <v>0</v>
      </c>
      <c r="BK112" s="90"/>
      <c r="BL112" s="90">
        <v>713</v>
      </c>
      <c r="BW112" s="90">
        <v>21</v>
      </c>
      <c r="BX112" s="93" t="s">
        <v>201</v>
      </c>
    </row>
    <row r="113" spans="1:11" ht="15">
      <c r="A113" s="94"/>
      <c r="C113" s="95" t="s">
        <v>202</v>
      </c>
      <c r="D113" s="95" t="s">
        <v>49</v>
      </c>
      <c r="F113" s="96">
        <v>17.15595</v>
      </c>
      <c r="K113" s="97"/>
    </row>
    <row r="114" spans="1:47" ht="15">
      <c r="A114" s="98" t="s">
        <v>49</v>
      </c>
      <c r="B114" s="99" t="s">
        <v>203</v>
      </c>
      <c r="C114" s="100" t="s">
        <v>204</v>
      </c>
      <c r="D114" s="101"/>
      <c r="E114" s="102" t="s">
        <v>3</v>
      </c>
      <c r="F114" s="102" t="s">
        <v>3</v>
      </c>
      <c r="G114" s="102" t="s">
        <v>3</v>
      </c>
      <c r="H114" s="49">
        <f>SUM(H115:H119)</f>
        <v>0</v>
      </c>
      <c r="I114" s="49">
        <f>SUM(I115:I119)</f>
        <v>0</v>
      </c>
      <c r="J114" s="49">
        <f>SUM(J115:J119)</f>
        <v>0</v>
      </c>
      <c r="K114" s="103" t="s">
        <v>49</v>
      </c>
      <c r="AI114" s="70" t="s">
        <v>49</v>
      </c>
      <c r="AS114" s="49">
        <f>SUM(AJ115:AJ119)</f>
        <v>0</v>
      </c>
      <c r="AT114" s="49">
        <f>SUM(AK115:AK119)</f>
        <v>0</v>
      </c>
      <c r="AU114" s="49">
        <f>SUM(AL115:AL119)</f>
        <v>0</v>
      </c>
    </row>
    <row r="115" spans="1:76" ht="15">
      <c r="A115" s="88" t="s">
        <v>205</v>
      </c>
      <c r="B115" s="89" t="s">
        <v>206</v>
      </c>
      <c r="C115" s="59" t="s">
        <v>207</v>
      </c>
      <c r="D115" s="56"/>
      <c r="E115" s="89" t="s">
        <v>68</v>
      </c>
      <c r="F115" s="90">
        <v>6</v>
      </c>
      <c r="G115" s="281"/>
      <c r="H115" s="90">
        <f>F115*AO115</f>
        <v>0</v>
      </c>
      <c r="I115" s="90">
        <f>F115*AP115</f>
        <v>0</v>
      </c>
      <c r="J115" s="90">
        <f>F115*G115</f>
        <v>0</v>
      </c>
      <c r="K115" s="91" t="s">
        <v>79</v>
      </c>
      <c r="Z115" s="90">
        <f>IF(AQ115="5",BJ115,0)</f>
        <v>0</v>
      </c>
      <c r="AB115" s="90">
        <f>IF(AQ115="1",BH115,0)</f>
        <v>0</v>
      </c>
      <c r="AC115" s="90">
        <f>IF(AQ115="1",BI115,0)</f>
        <v>0</v>
      </c>
      <c r="AD115" s="90">
        <f>IF(AQ115="7",BH115,0)</f>
        <v>0</v>
      </c>
      <c r="AE115" s="90">
        <f>IF(AQ115="7",BI115,0)</f>
        <v>0</v>
      </c>
      <c r="AF115" s="90">
        <f>IF(AQ115="2",BH115,0)</f>
        <v>0</v>
      </c>
      <c r="AG115" s="90">
        <f>IF(AQ115="2",BI115,0)</f>
        <v>0</v>
      </c>
      <c r="AH115" s="90">
        <f>IF(AQ115="0",BJ115,0)</f>
        <v>0</v>
      </c>
      <c r="AI115" s="70" t="s">
        <v>49</v>
      </c>
      <c r="AJ115" s="90">
        <f>IF(AN115=0,J115,0)</f>
        <v>0</v>
      </c>
      <c r="AK115" s="90">
        <f>IF(AN115=12,J115,0)</f>
        <v>0</v>
      </c>
      <c r="AL115" s="90">
        <f>IF(AN115=21,J115,0)</f>
        <v>0</v>
      </c>
      <c r="AN115" s="90">
        <v>21</v>
      </c>
      <c r="AO115" s="90">
        <f>G115*0</f>
        <v>0</v>
      </c>
      <c r="AP115" s="90">
        <f>G115*(1-0)</f>
        <v>0</v>
      </c>
      <c r="AQ115" s="92" t="s">
        <v>69</v>
      </c>
      <c r="AV115" s="90">
        <f>AW115+AX115</f>
        <v>0</v>
      </c>
      <c r="AW115" s="90">
        <f>F115*AO115</f>
        <v>0</v>
      </c>
      <c r="AX115" s="90">
        <f>F115*AP115</f>
        <v>0</v>
      </c>
      <c r="AY115" s="92" t="s">
        <v>208</v>
      </c>
      <c r="AZ115" s="92" t="s">
        <v>209</v>
      </c>
      <c r="BA115" s="70" t="s">
        <v>57</v>
      </c>
      <c r="BC115" s="90">
        <f>AW115+AX115</f>
        <v>0</v>
      </c>
      <c r="BD115" s="90">
        <f>G115/(100-BE115)*100</f>
        <v>0</v>
      </c>
      <c r="BE115" s="90">
        <v>0</v>
      </c>
      <c r="BF115" s="90">
        <f>119</f>
        <v>119</v>
      </c>
      <c r="BH115" s="90">
        <f>F115*AO115</f>
        <v>0</v>
      </c>
      <c r="BI115" s="90">
        <f>F115*AP115</f>
        <v>0</v>
      </c>
      <c r="BJ115" s="90">
        <f>F115*G115</f>
        <v>0</v>
      </c>
      <c r="BK115" s="90"/>
      <c r="BL115" s="90">
        <v>721</v>
      </c>
      <c r="BW115" s="90">
        <v>21</v>
      </c>
      <c r="BX115" s="93" t="s">
        <v>207</v>
      </c>
    </row>
    <row r="116" spans="1:11" ht="15">
      <c r="A116" s="94"/>
      <c r="C116" s="95" t="s">
        <v>210</v>
      </c>
      <c r="D116" s="95" t="s">
        <v>49</v>
      </c>
      <c r="F116" s="96">
        <v>3</v>
      </c>
      <c r="K116" s="97"/>
    </row>
    <row r="117" spans="1:11" ht="15">
      <c r="A117" s="94"/>
      <c r="C117" s="95" t="s">
        <v>211</v>
      </c>
      <c r="D117" s="95" t="s">
        <v>49</v>
      </c>
      <c r="F117" s="96">
        <v>2</v>
      </c>
      <c r="K117" s="97"/>
    </row>
    <row r="118" spans="1:11" ht="15">
      <c r="A118" s="94"/>
      <c r="C118" s="95" t="s">
        <v>212</v>
      </c>
      <c r="D118" s="95" t="s">
        <v>49</v>
      </c>
      <c r="F118" s="96">
        <v>1</v>
      </c>
      <c r="K118" s="97"/>
    </row>
    <row r="119" spans="1:76" ht="25.5">
      <c r="A119" s="88" t="s">
        <v>213</v>
      </c>
      <c r="B119" s="89" t="s">
        <v>214</v>
      </c>
      <c r="C119" s="59" t="s">
        <v>215</v>
      </c>
      <c r="D119" s="56"/>
      <c r="E119" s="89" t="s">
        <v>68</v>
      </c>
      <c r="F119" s="90">
        <v>2</v>
      </c>
      <c r="G119" s="281"/>
      <c r="H119" s="90">
        <f>F119*AO119</f>
        <v>0</v>
      </c>
      <c r="I119" s="90">
        <f>F119*AP119</f>
        <v>0</v>
      </c>
      <c r="J119" s="90">
        <f>F119*G119</f>
        <v>0</v>
      </c>
      <c r="K119" s="91" t="s">
        <v>49</v>
      </c>
      <c r="Z119" s="90">
        <f>IF(AQ119="5",BJ119,0)</f>
        <v>0</v>
      </c>
      <c r="AB119" s="90">
        <f>IF(AQ119="1",BH119,0)</f>
        <v>0</v>
      </c>
      <c r="AC119" s="90">
        <f>IF(AQ119="1",BI119,0)</f>
        <v>0</v>
      </c>
      <c r="AD119" s="90">
        <f>IF(AQ119="7",BH119,0)</f>
        <v>0</v>
      </c>
      <c r="AE119" s="90">
        <f>IF(AQ119="7",BI119,0)</f>
        <v>0</v>
      </c>
      <c r="AF119" s="90">
        <f>IF(AQ119="2",BH119,0)</f>
        <v>0</v>
      </c>
      <c r="AG119" s="90">
        <f>IF(AQ119="2",BI119,0)</f>
        <v>0</v>
      </c>
      <c r="AH119" s="90">
        <f>IF(AQ119="0",BJ119,0)</f>
        <v>0</v>
      </c>
      <c r="AI119" s="70" t="s">
        <v>49</v>
      </c>
      <c r="AJ119" s="90">
        <f>IF(AN119=0,J119,0)</f>
        <v>0</v>
      </c>
      <c r="AK119" s="90">
        <f>IF(AN119=12,J119,0)</f>
        <v>0</v>
      </c>
      <c r="AL119" s="90">
        <f>IF(AN119=21,J119,0)</f>
        <v>0</v>
      </c>
      <c r="AN119" s="90">
        <v>21</v>
      </c>
      <c r="AO119" s="90">
        <f>G119*0.375</f>
        <v>0</v>
      </c>
      <c r="AP119" s="90">
        <f>G119*(1-0.375)</f>
        <v>0</v>
      </c>
      <c r="AQ119" s="92" t="s">
        <v>69</v>
      </c>
      <c r="AV119" s="90">
        <f>AW119+AX119</f>
        <v>0</v>
      </c>
      <c r="AW119" s="90">
        <f>F119*AO119</f>
        <v>0</v>
      </c>
      <c r="AX119" s="90">
        <f>F119*AP119</f>
        <v>0</v>
      </c>
      <c r="AY119" s="92" t="s">
        <v>208</v>
      </c>
      <c r="AZ119" s="92" t="s">
        <v>209</v>
      </c>
      <c r="BA119" s="70" t="s">
        <v>57</v>
      </c>
      <c r="BC119" s="90">
        <f>AW119+AX119</f>
        <v>0</v>
      </c>
      <c r="BD119" s="90">
        <f>G119/(100-BE119)*100</f>
        <v>0</v>
      </c>
      <c r="BE119" s="90">
        <v>0</v>
      </c>
      <c r="BF119" s="90">
        <f>123</f>
        <v>123</v>
      </c>
      <c r="BH119" s="90">
        <f>F119*AO119</f>
        <v>0</v>
      </c>
      <c r="BI119" s="90">
        <f>F119*AP119</f>
        <v>0</v>
      </c>
      <c r="BJ119" s="90">
        <f>F119*G119</f>
        <v>0</v>
      </c>
      <c r="BK119" s="90"/>
      <c r="BL119" s="90">
        <v>721</v>
      </c>
      <c r="BW119" s="90">
        <v>21</v>
      </c>
      <c r="BX119" s="93" t="s">
        <v>215</v>
      </c>
    </row>
    <row r="120" spans="1:11" ht="15">
      <c r="A120" s="94"/>
      <c r="C120" s="95" t="s">
        <v>216</v>
      </c>
      <c r="D120" s="95" t="s">
        <v>49</v>
      </c>
      <c r="F120" s="96">
        <v>2</v>
      </c>
      <c r="K120" s="97"/>
    </row>
    <row r="121" spans="1:47" ht="15">
      <c r="A121" s="98" t="s">
        <v>49</v>
      </c>
      <c r="B121" s="99" t="s">
        <v>217</v>
      </c>
      <c r="C121" s="100" t="s">
        <v>218</v>
      </c>
      <c r="D121" s="101"/>
      <c r="E121" s="102" t="s">
        <v>3</v>
      </c>
      <c r="F121" s="102" t="s">
        <v>3</v>
      </c>
      <c r="G121" s="102" t="s">
        <v>3</v>
      </c>
      <c r="H121" s="49">
        <f>SUM(H122:H122)</f>
        <v>0</v>
      </c>
      <c r="I121" s="49">
        <f>SUM(I122:I122)</f>
        <v>0</v>
      </c>
      <c r="J121" s="49">
        <f>SUM(J122:J122)</f>
        <v>0</v>
      </c>
      <c r="K121" s="103" t="s">
        <v>49</v>
      </c>
      <c r="AI121" s="70" t="s">
        <v>49</v>
      </c>
      <c r="AS121" s="49">
        <f>SUM(AJ122:AJ122)</f>
        <v>0</v>
      </c>
      <c r="AT121" s="49">
        <f>SUM(AK122:AK122)</f>
        <v>0</v>
      </c>
      <c r="AU121" s="49">
        <f>SUM(AL122:AL122)</f>
        <v>0</v>
      </c>
    </row>
    <row r="122" spans="1:76" ht="15">
      <c r="A122" s="88" t="s">
        <v>219</v>
      </c>
      <c r="B122" s="89" t="s">
        <v>220</v>
      </c>
      <c r="C122" s="59" t="s">
        <v>221</v>
      </c>
      <c r="D122" s="56"/>
      <c r="E122" s="89" t="s">
        <v>222</v>
      </c>
      <c r="F122" s="90">
        <v>336.5834</v>
      </c>
      <c r="G122" s="281"/>
      <c r="H122" s="90">
        <f>F122*AO122</f>
        <v>0</v>
      </c>
      <c r="I122" s="90">
        <f>F122*AP122</f>
        <v>0</v>
      </c>
      <c r="J122" s="90">
        <f>F122*G122</f>
        <v>0</v>
      </c>
      <c r="K122" s="91" t="s">
        <v>49</v>
      </c>
      <c r="Z122" s="90">
        <f>IF(AQ122="5",BJ122,0)</f>
        <v>0</v>
      </c>
      <c r="AB122" s="90">
        <f>IF(AQ122="1",BH122,0)</f>
        <v>0</v>
      </c>
      <c r="AC122" s="90">
        <f>IF(AQ122="1",BI122,0)</f>
        <v>0</v>
      </c>
      <c r="AD122" s="90">
        <f>IF(AQ122="7",BH122,0)</f>
        <v>0</v>
      </c>
      <c r="AE122" s="90">
        <f>IF(AQ122="7",BI122,0)</f>
        <v>0</v>
      </c>
      <c r="AF122" s="90">
        <f>IF(AQ122="2",BH122,0)</f>
        <v>0</v>
      </c>
      <c r="AG122" s="90">
        <f>IF(AQ122="2",BI122,0)</f>
        <v>0</v>
      </c>
      <c r="AH122" s="90">
        <f>IF(AQ122="0",BJ122,0)</f>
        <v>0</v>
      </c>
      <c r="AI122" s="70" t="s">
        <v>49</v>
      </c>
      <c r="AJ122" s="90">
        <f>IF(AN122=0,J122,0)</f>
        <v>0</v>
      </c>
      <c r="AK122" s="90">
        <f>IF(AN122=12,J122,0)</f>
        <v>0</v>
      </c>
      <c r="AL122" s="90">
        <f>IF(AN122=21,J122,0)</f>
        <v>0</v>
      </c>
      <c r="AN122" s="90">
        <v>21</v>
      </c>
      <c r="AO122" s="90">
        <f>G122*0.666666667</f>
        <v>0</v>
      </c>
      <c r="AP122" s="90">
        <f>G122*(1-0.666666667)</f>
        <v>0</v>
      </c>
      <c r="AQ122" s="92" t="s">
        <v>69</v>
      </c>
      <c r="AV122" s="90">
        <f>AW122+AX122</f>
        <v>0</v>
      </c>
      <c r="AW122" s="90">
        <f>F122*AO122</f>
        <v>0</v>
      </c>
      <c r="AX122" s="90">
        <f>F122*AP122</f>
        <v>0</v>
      </c>
      <c r="AY122" s="92" t="s">
        <v>223</v>
      </c>
      <c r="AZ122" s="92" t="s">
        <v>224</v>
      </c>
      <c r="BA122" s="70" t="s">
        <v>57</v>
      </c>
      <c r="BC122" s="90">
        <f>AW122+AX122</f>
        <v>0</v>
      </c>
      <c r="BD122" s="90">
        <f>G122/(100-BE122)*100</f>
        <v>0</v>
      </c>
      <c r="BE122" s="90">
        <v>0</v>
      </c>
      <c r="BF122" s="90">
        <f>126</f>
        <v>126</v>
      </c>
      <c r="BH122" s="90">
        <f>F122*AO122</f>
        <v>0</v>
      </c>
      <c r="BI122" s="90">
        <f>F122*AP122</f>
        <v>0</v>
      </c>
      <c r="BJ122" s="90">
        <f>F122*G122</f>
        <v>0</v>
      </c>
      <c r="BK122" s="90"/>
      <c r="BL122" s="90">
        <v>762</v>
      </c>
      <c r="BW122" s="90">
        <v>21</v>
      </c>
      <c r="BX122" s="93" t="s">
        <v>221</v>
      </c>
    </row>
    <row r="123" spans="1:11" ht="15">
      <c r="A123" s="94"/>
      <c r="C123" s="95" t="s">
        <v>225</v>
      </c>
      <c r="D123" s="95" t="s">
        <v>49</v>
      </c>
      <c r="F123" s="96">
        <v>326.78</v>
      </c>
      <c r="K123" s="97"/>
    </row>
    <row r="124" spans="1:11" ht="15">
      <c r="A124" s="94"/>
      <c r="C124" s="95" t="s">
        <v>226</v>
      </c>
      <c r="D124" s="95" t="s">
        <v>49</v>
      </c>
      <c r="F124" s="96">
        <v>9.8034</v>
      </c>
      <c r="K124" s="97"/>
    </row>
    <row r="125" spans="1:47" ht="15">
      <c r="A125" s="98" t="s">
        <v>49</v>
      </c>
      <c r="B125" s="99" t="s">
        <v>227</v>
      </c>
      <c r="C125" s="100" t="s">
        <v>228</v>
      </c>
      <c r="D125" s="101"/>
      <c r="E125" s="102" t="s">
        <v>3</v>
      </c>
      <c r="F125" s="102" t="s">
        <v>3</v>
      </c>
      <c r="G125" s="102" t="s">
        <v>3</v>
      </c>
      <c r="H125" s="49">
        <f>SUM(H126:H128)</f>
        <v>0</v>
      </c>
      <c r="I125" s="49">
        <f>SUM(I126:I128)</f>
        <v>0</v>
      </c>
      <c r="J125" s="49">
        <f>SUM(J126:J128)</f>
        <v>0</v>
      </c>
      <c r="K125" s="103" t="s">
        <v>49</v>
      </c>
      <c r="AI125" s="70" t="s">
        <v>49</v>
      </c>
      <c r="AS125" s="49">
        <f>SUM(AJ126:AJ128)</f>
        <v>0</v>
      </c>
      <c r="AT125" s="49">
        <f>SUM(AK126:AK128)</f>
        <v>0</v>
      </c>
      <c r="AU125" s="49">
        <f>SUM(AL126:AL128)</f>
        <v>0</v>
      </c>
    </row>
    <row r="126" spans="1:76" ht="15">
      <c r="A126" s="88" t="s">
        <v>229</v>
      </c>
      <c r="B126" s="89" t="s">
        <v>230</v>
      </c>
      <c r="C126" s="59" t="s">
        <v>231</v>
      </c>
      <c r="D126" s="56"/>
      <c r="E126" s="89" t="s">
        <v>78</v>
      </c>
      <c r="F126" s="90">
        <v>157.5</v>
      </c>
      <c r="G126" s="281"/>
      <c r="H126" s="90">
        <f>F126*AO126</f>
        <v>0</v>
      </c>
      <c r="I126" s="90">
        <f>F126*AP126</f>
        <v>0</v>
      </c>
      <c r="J126" s="90">
        <f>F126*G126</f>
        <v>0</v>
      </c>
      <c r="K126" s="91" t="s">
        <v>79</v>
      </c>
      <c r="Z126" s="90">
        <f>IF(AQ126="5",BJ126,0)</f>
        <v>0</v>
      </c>
      <c r="AB126" s="90">
        <f>IF(AQ126="1",BH126,0)</f>
        <v>0</v>
      </c>
      <c r="AC126" s="90">
        <f>IF(AQ126="1",BI126,0)</f>
        <v>0</v>
      </c>
      <c r="AD126" s="90">
        <f>IF(AQ126="7",BH126,0)</f>
        <v>0</v>
      </c>
      <c r="AE126" s="90">
        <f>IF(AQ126="7",BI126,0)</f>
        <v>0</v>
      </c>
      <c r="AF126" s="90">
        <f>IF(AQ126="2",BH126,0)</f>
        <v>0</v>
      </c>
      <c r="AG126" s="90">
        <f>IF(AQ126="2",BI126,0)</f>
        <v>0</v>
      </c>
      <c r="AH126" s="90">
        <f>IF(AQ126="0",BJ126,0)</f>
        <v>0</v>
      </c>
      <c r="AI126" s="70" t="s">
        <v>49</v>
      </c>
      <c r="AJ126" s="90">
        <f>IF(AN126=0,J126,0)</f>
        <v>0</v>
      </c>
      <c r="AK126" s="90">
        <f>IF(AN126=12,J126,0)</f>
        <v>0</v>
      </c>
      <c r="AL126" s="90">
        <f>IF(AN126=21,J126,0)</f>
        <v>0</v>
      </c>
      <c r="AN126" s="90">
        <v>21</v>
      </c>
      <c r="AO126" s="90">
        <f>G126*0.00918429</f>
        <v>0</v>
      </c>
      <c r="AP126" s="90">
        <f>G126*(1-0.00918429)</f>
        <v>0</v>
      </c>
      <c r="AQ126" s="92" t="s">
        <v>69</v>
      </c>
      <c r="AV126" s="90">
        <f>AW126+AX126</f>
        <v>0</v>
      </c>
      <c r="AW126" s="90">
        <f>F126*AO126</f>
        <v>0</v>
      </c>
      <c r="AX126" s="90">
        <f>F126*AP126</f>
        <v>0</v>
      </c>
      <c r="AY126" s="92" t="s">
        <v>232</v>
      </c>
      <c r="AZ126" s="92" t="s">
        <v>224</v>
      </c>
      <c r="BA126" s="70" t="s">
        <v>57</v>
      </c>
      <c r="BC126" s="90">
        <f>AW126+AX126</f>
        <v>0</v>
      </c>
      <c r="BD126" s="90">
        <f>G126/(100-BE126)*100</f>
        <v>0</v>
      </c>
      <c r="BE126" s="90">
        <v>0</v>
      </c>
      <c r="BF126" s="90">
        <f>130</f>
        <v>130</v>
      </c>
      <c r="BH126" s="90">
        <f>F126*AO126</f>
        <v>0</v>
      </c>
      <c r="BI126" s="90">
        <f>F126*AP126</f>
        <v>0</v>
      </c>
      <c r="BJ126" s="90">
        <f>F126*G126</f>
        <v>0</v>
      </c>
      <c r="BK126" s="90"/>
      <c r="BL126" s="90">
        <v>763</v>
      </c>
      <c r="BW126" s="90">
        <v>21</v>
      </c>
      <c r="BX126" s="93" t="s">
        <v>231</v>
      </c>
    </row>
    <row r="127" spans="1:11" ht="15">
      <c r="A127" s="94"/>
      <c r="C127" s="95" t="s">
        <v>233</v>
      </c>
      <c r="D127" s="95" t="s">
        <v>49</v>
      </c>
      <c r="F127" s="96">
        <v>157.5</v>
      </c>
      <c r="K127" s="97"/>
    </row>
    <row r="128" spans="1:76" ht="15">
      <c r="A128" s="88" t="s">
        <v>234</v>
      </c>
      <c r="B128" s="89" t="s">
        <v>235</v>
      </c>
      <c r="C128" s="59" t="s">
        <v>236</v>
      </c>
      <c r="D128" s="56"/>
      <c r="E128" s="89" t="s">
        <v>78</v>
      </c>
      <c r="F128" s="90">
        <v>162.225</v>
      </c>
      <c r="G128" s="281"/>
      <c r="H128" s="90">
        <f>F128*AO128</f>
        <v>0</v>
      </c>
      <c r="I128" s="90">
        <f>F128*AP128</f>
        <v>0</v>
      </c>
      <c r="J128" s="90">
        <f>F128*G128</f>
        <v>0</v>
      </c>
      <c r="K128" s="91" t="s">
        <v>79</v>
      </c>
      <c r="Z128" s="90">
        <f>IF(AQ128="5",BJ128,0)</f>
        <v>0</v>
      </c>
      <c r="AB128" s="90">
        <f>IF(AQ128="1",BH128,0)</f>
        <v>0</v>
      </c>
      <c r="AC128" s="90">
        <f>IF(AQ128="1",BI128,0)</f>
        <v>0</v>
      </c>
      <c r="AD128" s="90">
        <f>IF(AQ128="7",BH128,0)</f>
        <v>0</v>
      </c>
      <c r="AE128" s="90">
        <f>IF(AQ128="7",BI128,0)</f>
        <v>0</v>
      </c>
      <c r="AF128" s="90">
        <f>IF(AQ128="2",BH128,0)</f>
        <v>0</v>
      </c>
      <c r="AG128" s="90">
        <f>IF(AQ128="2",BI128,0)</f>
        <v>0</v>
      </c>
      <c r="AH128" s="90">
        <f>IF(AQ128="0",BJ128,0)</f>
        <v>0</v>
      </c>
      <c r="AI128" s="70" t="s">
        <v>49</v>
      </c>
      <c r="AJ128" s="90">
        <f>IF(AN128=0,J128,0)</f>
        <v>0</v>
      </c>
      <c r="AK128" s="90">
        <f>IF(AN128=12,J128,0)</f>
        <v>0</v>
      </c>
      <c r="AL128" s="90">
        <f>IF(AN128=21,J128,0)</f>
        <v>0</v>
      </c>
      <c r="AN128" s="90">
        <v>21</v>
      </c>
      <c r="AO128" s="90">
        <f>G128*1</f>
        <v>0</v>
      </c>
      <c r="AP128" s="90">
        <f>G128*(1-1)</f>
        <v>0</v>
      </c>
      <c r="AQ128" s="92" t="s">
        <v>69</v>
      </c>
      <c r="AV128" s="90">
        <f>AW128+AX128</f>
        <v>0</v>
      </c>
      <c r="AW128" s="90">
        <f>F128*AO128</f>
        <v>0</v>
      </c>
      <c r="AX128" s="90">
        <f>F128*AP128</f>
        <v>0</v>
      </c>
      <c r="AY128" s="92" t="s">
        <v>232</v>
      </c>
      <c r="AZ128" s="92" t="s">
        <v>224</v>
      </c>
      <c r="BA128" s="70" t="s">
        <v>57</v>
      </c>
      <c r="BC128" s="90">
        <f>AW128+AX128</f>
        <v>0</v>
      </c>
      <c r="BD128" s="90">
        <f>G128/(100-BE128)*100</f>
        <v>0</v>
      </c>
      <c r="BE128" s="90">
        <v>0</v>
      </c>
      <c r="BF128" s="90">
        <f>132</f>
        <v>132</v>
      </c>
      <c r="BH128" s="90">
        <f>F128*AO128</f>
        <v>0</v>
      </c>
      <c r="BI128" s="90">
        <f>F128*AP128</f>
        <v>0</v>
      </c>
      <c r="BJ128" s="90">
        <f>F128*G128</f>
        <v>0</v>
      </c>
      <c r="BK128" s="90"/>
      <c r="BL128" s="90">
        <v>763</v>
      </c>
      <c r="BW128" s="90">
        <v>21</v>
      </c>
      <c r="BX128" s="93" t="s">
        <v>236</v>
      </c>
    </row>
    <row r="129" spans="1:11" ht="15">
      <c r="A129" s="94"/>
      <c r="C129" s="95" t="s">
        <v>237</v>
      </c>
      <c r="D129" s="95" t="s">
        <v>49</v>
      </c>
      <c r="F129" s="96">
        <v>157.5</v>
      </c>
      <c r="K129" s="97"/>
    </row>
    <row r="130" spans="1:11" ht="15">
      <c r="A130" s="94"/>
      <c r="C130" s="95" t="s">
        <v>238</v>
      </c>
      <c r="D130" s="95" t="s">
        <v>49</v>
      </c>
      <c r="F130" s="96">
        <v>4.725</v>
      </c>
      <c r="K130" s="97"/>
    </row>
    <row r="131" spans="1:47" ht="15">
      <c r="A131" s="98" t="s">
        <v>49</v>
      </c>
      <c r="B131" s="99" t="s">
        <v>239</v>
      </c>
      <c r="C131" s="100" t="s">
        <v>240</v>
      </c>
      <c r="D131" s="101"/>
      <c r="E131" s="102" t="s">
        <v>3</v>
      </c>
      <c r="F131" s="102" t="s">
        <v>3</v>
      </c>
      <c r="G131" s="102" t="s">
        <v>3</v>
      </c>
      <c r="H131" s="49">
        <f>SUM(H132:H143)</f>
        <v>0</v>
      </c>
      <c r="I131" s="49">
        <f>SUM(I132:I143)</f>
        <v>0</v>
      </c>
      <c r="J131" s="49">
        <f>SUM(J132:J143)</f>
        <v>0</v>
      </c>
      <c r="K131" s="103" t="s">
        <v>49</v>
      </c>
      <c r="AI131" s="70" t="s">
        <v>49</v>
      </c>
      <c r="AS131" s="49">
        <f>SUM(AJ132:AJ143)</f>
        <v>0</v>
      </c>
      <c r="AT131" s="49">
        <f>SUM(AK132:AK143)</f>
        <v>0</v>
      </c>
      <c r="AU131" s="49">
        <f>SUM(AL132:AL143)</f>
        <v>0</v>
      </c>
    </row>
    <row r="132" spans="1:76" ht="15">
      <c r="A132" s="88">
        <v>50</v>
      </c>
      <c r="B132" s="89" t="s">
        <v>242</v>
      </c>
      <c r="C132" s="59" t="s">
        <v>243</v>
      </c>
      <c r="D132" s="56"/>
      <c r="E132" s="89" t="s">
        <v>222</v>
      </c>
      <c r="F132" s="90">
        <v>326.78</v>
      </c>
      <c r="G132" s="281"/>
      <c r="H132" s="90">
        <f>F132*AO132</f>
        <v>0</v>
      </c>
      <c r="I132" s="90">
        <f>F132*AP132</f>
        <v>0</v>
      </c>
      <c r="J132" s="90">
        <f>F132*G132</f>
        <v>0</v>
      </c>
      <c r="K132" s="91" t="s">
        <v>79</v>
      </c>
      <c r="Z132" s="90">
        <f>IF(AQ132="5",BJ132,0)</f>
        <v>0</v>
      </c>
      <c r="AB132" s="90">
        <f>IF(AQ132="1",BH132,0)</f>
        <v>0</v>
      </c>
      <c r="AC132" s="90">
        <f>IF(AQ132="1",BI132,0)</f>
        <v>0</v>
      </c>
      <c r="AD132" s="90">
        <f>IF(AQ132="7",BH132,0)</f>
        <v>0</v>
      </c>
      <c r="AE132" s="90">
        <f>IF(AQ132="7",BI132,0)</f>
        <v>0</v>
      </c>
      <c r="AF132" s="90">
        <f>IF(AQ132="2",BH132,0)</f>
        <v>0</v>
      </c>
      <c r="AG132" s="90">
        <f>IF(AQ132="2",BI132,0)</f>
        <v>0</v>
      </c>
      <c r="AH132" s="90">
        <f>IF(AQ132="0",BJ132,0)</f>
        <v>0</v>
      </c>
      <c r="AI132" s="70" t="s">
        <v>49</v>
      </c>
      <c r="AJ132" s="90">
        <f>IF(AN132=0,J132,0)</f>
        <v>0</v>
      </c>
      <c r="AK132" s="90">
        <f>IF(AN132=12,J132,0)</f>
        <v>0</v>
      </c>
      <c r="AL132" s="90">
        <f>IF(AN132=21,J132,0)</f>
        <v>0</v>
      </c>
      <c r="AN132" s="90">
        <v>21</v>
      </c>
      <c r="AO132" s="90">
        <f>G132*0</f>
        <v>0</v>
      </c>
      <c r="AP132" s="90">
        <f>G132*(1-0)</f>
        <v>0</v>
      </c>
      <c r="AQ132" s="92" t="s">
        <v>69</v>
      </c>
      <c r="AV132" s="90">
        <f>AW132+AX132</f>
        <v>0</v>
      </c>
      <c r="AW132" s="90">
        <f>F132*AO132</f>
        <v>0</v>
      </c>
      <c r="AX132" s="90">
        <f>F132*AP132</f>
        <v>0</v>
      </c>
      <c r="AY132" s="92" t="s">
        <v>241</v>
      </c>
      <c r="AZ132" s="92" t="s">
        <v>224</v>
      </c>
      <c r="BA132" s="70" t="s">
        <v>57</v>
      </c>
      <c r="BC132" s="90">
        <f>AW132+AX132</f>
        <v>0</v>
      </c>
      <c r="BD132" s="90">
        <f>G132/(100-BE132)*100</f>
        <v>0</v>
      </c>
      <c r="BE132" s="90">
        <v>0</v>
      </c>
      <c r="BF132" s="90">
        <f>143</f>
        <v>143</v>
      </c>
      <c r="BH132" s="90">
        <f>F132*AO132</f>
        <v>0</v>
      </c>
      <c r="BI132" s="90">
        <f>F132*AP132</f>
        <v>0</v>
      </c>
      <c r="BJ132" s="90">
        <f>F132*G132</f>
        <v>0</v>
      </c>
      <c r="BK132" s="90"/>
      <c r="BL132" s="90">
        <v>764</v>
      </c>
      <c r="BW132" s="90">
        <v>21</v>
      </c>
      <c r="BX132" s="93" t="s">
        <v>243</v>
      </c>
    </row>
    <row r="133" spans="1:11" ht="15">
      <c r="A133" s="94"/>
      <c r="C133" s="95" t="s">
        <v>244</v>
      </c>
      <c r="D133" s="95" t="s">
        <v>49</v>
      </c>
      <c r="F133" s="96">
        <v>326.78</v>
      </c>
      <c r="K133" s="97"/>
    </row>
    <row r="134" spans="1:76" ht="15">
      <c r="A134" s="88">
        <v>51</v>
      </c>
      <c r="B134" s="89" t="s">
        <v>245</v>
      </c>
      <c r="C134" s="59" t="s">
        <v>246</v>
      </c>
      <c r="D134" s="56"/>
      <c r="E134" s="89" t="s">
        <v>68</v>
      </c>
      <c r="F134" s="90">
        <v>1</v>
      </c>
      <c r="G134" s="281"/>
      <c r="H134" s="90">
        <f>F134*AO134</f>
        <v>0</v>
      </c>
      <c r="I134" s="90">
        <f>F134*AP134</f>
        <v>0</v>
      </c>
      <c r="J134" s="90">
        <f>F134*G134</f>
        <v>0</v>
      </c>
      <c r="K134" s="91" t="s">
        <v>49</v>
      </c>
      <c r="Z134" s="90">
        <f>IF(AQ134="5",BJ134,0)</f>
        <v>0</v>
      </c>
      <c r="AB134" s="90">
        <f>IF(AQ134="1",BH134,0)</f>
        <v>0</v>
      </c>
      <c r="AC134" s="90">
        <f>IF(AQ134="1",BI134,0)</f>
        <v>0</v>
      </c>
      <c r="AD134" s="90">
        <f>IF(AQ134="7",BH134,0)</f>
        <v>0</v>
      </c>
      <c r="AE134" s="90">
        <f>IF(AQ134="7",BI134,0)</f>
        <v>0</v>
      </c>
      <c r="AF134" s="90">
        <f>IF(AQ134="2",BH134,0)</f>
        <v>0</v>
      </c>
      <c r="AG134" s="90">
        <f>IF(AQ134="2",BI134,0)</f>
        <v>0</v>
      </c>
      <c r="AH134" s="90">
        <f>IF(AQ134="0",BJ134,0)</f>
        <v>0</v>
      </c>
      <c r="AI134" s="70" t="s">
        <v>49</v>
      </c>
      <c r="AJ134" s="90">
        <f>IF(AN134=0,J134,0)</f>
        <v>0</v>
      </c>
      <c r="AK134" s="90">
        <f>IF(AN134=12,J134,0)</f>
        <v>0</v>
      </c>
      <c r="AL134" s="90">
        <f>IF(AN134=21,J134,0)</f>
        <v>0</v>
      </c>
      <c r="AN134" s="90">
        <v>21</v>
      </c>
      <c r="AO134" s="90">
        <f>G134*0</f>
        <v>0</v>
      </c>
      <c r="AP134" s="90">
        <f>G134*(1-0)</f>
        <v>0</v>
      </c>
      <c r="AQ134" s="92" t="s">
        <v>69</v>
      </c>
      <c r="AV134" s="90">
        <f>AW134+AX134</f>
        <v>0</v>
      </c>
      <c r="AW134" s="90">
        <f>F134*AO134</f>
        <v>0</v>
      </c>
      <c r="AX134" s="90">
        <f>F134*AP134</f>
        <v>0</v>
      </c>
      <c r="AY134" s="92" t="s">
        <v>241</v>
      </c>
      <c r="AZ134" s="92" t="s">
        <v>224</v>
      </c>
      <c r="BA134" s="70" t="s">
        <v>57</v>
      </c>
      <c r="BC134" s="90">
        <f>AW134+AX134</f>
        <v>0</v>
      </c>
      <c r="BD134" s="90">
        <f>G134/(100-BE134)*100</f>
        <v>0</v>
      </c>
      <c r="BE134" s="90">
        <v>0</v>
      </c>
      <c r="BF134" s="90">
        <f>145</f>
        <v>145</v>
      </c>
      <c r="BH134" s="90">
        <f>F134*AO134</f>
        <v>0</v>
      </c>
      <c r="BI134" s="90">
        <f>F134*AP134</f>
        <v>0</v>
      </c>
      <c r="BJ134" s="90">
        <f>F134*G134</f>
        <v>0</v>
      </c>
      <c r="BK134" s="90"/>
      <c r="BL134" s="90">
        <v>764</v>
      </c>
      <c r="BW134" s="90">
        <v>21</v>
      </c>
      <c r="BX134" s="93" t="s">
        <v>246</v>
      </c>
    </row>
    <row r="135" spans="1:11" ht="15">
      <c r="A135" s="94"/>
      <c r="C135" s="95" t="s">
        <v>247</v>
      </c>
      <c r="D135" s="95" t="s">
        <v>49</v>
      </c>
      <c r="F135" s="96">
        <v>1</v>
      </c>
      <c r="K135" s="97"/>
    </row>
    <row r="136" spans="1:76" ht="15">
      <c r="A136" s="88">
        <v>52</v>
      </c>
      <c r="B136" s="89" t="s">
        <v>248</v>
      </c>
      <c r="C136" s="59" t="s">
        <v>249</v>
      </c>
      <c r="D136" s="56"/>
      <c r="E136" s="89" t="s">
        <v>68</v>
      </c>
      <c r="F136" s="90">
        <v>1</v>
      </c>
      <c r="G136" s="281"/>
      <c r="H136" s="90">
        <f>F136*AO136</f>
        <v>0</v>
      </c>
      <c r="I136" s="90">
        <f>F136*AP136</f>
        <v>0</v>
      </c>
      <c r="J136" s="90">
        <f>F136*G136</f>
        <v>0</v>
      </c>
      <c r="K136" s="91" t="s">
        <v>49</v>
      </c>
      <c r="Z136" s="90">
        <f>IF(AQ136="5",BJ136,0)</f>
        <v>0</v>
      </c>
      <c r="AB136" s="90">
        <f>IF(AQ136="1",BH136,0)</f>
        <v>0</v>
      </c>
      <c r="AC136" s="90">
        <f>IF(AQ136="1",BI136,0)</f>
        <v>0</v>
      </c>
      <c r="AD136" s="90">
        <f>IF(AQ136="7",BH136,0)</f>
        <v>0</v>
      </c>
      <c r="AE136" s="90">
        <f>IF(AQ136="7",BI136,0)</f>
        <v>0</v>
      </c>
      <c r="AF136" s="90">
        <f>IF(AQ136="2",BH136,0)</f>
        <v>0</v>
      </c>
      <c r="AG136" s="90">
        <f>IF(AQ136="2",BI136,0)</f>
        <v>0</v>
      </c>
      <c r="AH136" s="90">
        <f>IF(AQ136="0",BJ136,0)</f>
        <v>0</v>
      </c>
      <c r="AI136" s="70" t="s">
        <v>49</v>
      </c>
      <c r="AJ136" s="90">
        <f>IF(AN136=0,J136,0)</f>
        <v>0</v>
      </c>
      <c r="AK136" s="90">
        <f>IF(AN136=12,J136,0)</f>
        <v>0</v>
      </c>
      <c r="AL136" s="90">
        <f>IF(AN136=21,J136,0)</f>
        <v>0</v>
      </c>
      <c r="AN136" s="90">
        <v>21</v>
      </c>
      <c r="AO136" s="90">
        <f>G136*0.333333333</f>
        <v>0</v>
      </c>
      <c r="AP136" s="90">
        <f>G136*(1-0.333333333)</f>
        <v>0</v>
      </c>
      <c r="AQ136" s="92" t="s">
        <v>69</v>
      </c>
      <c r="AV136" s="90">
        <f>AW136+AX136</f>
        <v>0</v>
      </c>
      <c r="AW136" s="90">
        <f>F136*AO136</f>
        <v>0</v>
      </c>
      <c r="AX136" s="90">
        <f>F136*AP136</f>
        <v>0</v>
      </c>
      <c r="AY136" s="92" t="s">
        <v>241</v>
      </c>
      <c r="AZ136" s="92" t="s">
        <v>224</v>
      </c>
      <c r="BA136" s="70" t="s">
        <v>57</v>
      </c>
      <c r="BC136" s="90">
        <f>AW136+AX136</f>
        <v>0</v>
      </c>
      <c r="BD136" s="90">
        <f>G136/(100-BE136)*100</f>
        <v>0</v>
      </c>
      <c r="BE136" s="90">
        <v>0</v>
      </c>
      <c r="BF136" s="90">
        <f>147</f>
        <v>147</v>
      </c>
      <c r="BH136" s="90">
        <f>F136*AO136</f>
        <v>0</v>
      </c>
      <c r="BI136" s="90">
        <f>F136*AP136</f>
        <v>0</v>
      </c>
      <c r="BJ136" s="90">
        <f>F136*G136</f>
        <v>0</v>
      </c>
      <c r="BK136" s="90"/>
      <c r="BL136" s="90">
        <v>764</v>
      </c>
      <c r="BW136" s="90">
        <v>21</v>
      </c>
      <c r="BX136" s="93" t="s">
        <v>249</v>
      </c>
    </row>
    <row r="137" spans="1:11" ht="15">
      <c r="A137" s="94"/>
      <c r="C137" s="95" t="s">
        <v>250</v>
      </c>
      <c r="D137" s="95" t="s">
        <v>49</v>
      </c>
      <c r="F137" s="96">
        <v>1</v>
      </c>
      <c r="K137" s="97"/>
    </row>
    <row r="138" spans="1:76" ht="15">
      <c r="A138" s="88">
        <v>53</v>
      </c>
      <c r="B138" s="104" t="s">
        <v>251</v>
      </c>
      <c r="C138" s="59" t="s">
        <v>252</v>
      </c>
      <c r="D138" s="56"/>
      <c r="E138" s="89" t="s">
        <v>222</v>
      </c>
      <c r="F138" s="90">
        <v>336.5834</v>
      </c>
      <c r="G138" s="281"/>
      <c r="H138" s="90">
        <f>F138*AO138</f>
        <v>0</v>
      </c>
      <c r="I138" s="90">
        <f>F138*AP138</f>
        <v>0</v>
      </c>
      <c r="J138" s="90">
        <f>F138*G138</f>
        <v>0</v>
      </c>
      <c r="K138" s="91" t="s">
        <v>79</v>
      </c>
      <c r="Z138" s="90">
        <f>IF(AQ138="5",BJ138,0)</f>
        <v>0</v>
      </c>
      <c r="AB138" s="90">
        <f>IF(AQ138="1",BH138,0)</f>
        <v>0</v>
      </c>
      <c r="AC138" s="90">
        <f>IF(AQ138="1",BI138,0)</f>
        <v>0</v>
      </c>
      <c r="AD138" s="90">
        <f>IF(AQ138="7",BH138,0)</f>
        <v>0</v>
      </c>
      <c r="AE138" s="90">
        <f>IF(AQ138="7",BI138,0)</f>
        <v>0</v>
      </c>
      <c r="AF138" s="90">
        <f>IF(AQ138="2",BH138,0)</f>
        <v>0</v>
      </c>
      <c r="AG138" s="90">
        <f>IF(AQ138="2",BI138,0)</f>
        <v>0</v>
      </c>
      <c r="AH138" s="90">
        <f>IF(AQ138="0",BJ138,0)</f>
        <v>0</v>
      </c>
      <c r="AI138" s="70" t="s">
        <v>49</v>
      </c>
      <c r="AJ138" s="90">
        <f>IF(AN138=0,J138,0)</f>
        <v>0</v>
      </c>
      <c r="AK138" s="90">
        <f>IF(AN138=12,J138,0)</f>
        <v>0</v>
      </c>
      <c r="AL138" s="90">
        <f>IF(AN138=21,J138,0)</f>
        <v>0</v>
      </c>
      <c r="AN138" s="90">
        <v>21</v>
      </c>
      <c r="AO138" s="90">
        <f>G138*0.510850661</f>
        <v>0</v>
      </c>
      <c r="AP138" s="90">
        <f>G138*(1-0.510850661)</f>
        <v>0</v>
      </c>
      <c r="AQ138" s="92" t="s">
        <v>69</v>
      </c>
      <c r="AV138" s="90">
        <f>AW138+AX138</f>
        <v>0</v>
      </c>
      <c r="AW138" s="90">
        <f>F138*AO138</f>
        <v>0</v>
      </c>
      <c r="AX138" s="90">
        <f>F138*AP138</f>
        <v>0</v>
      </c>
      <c r="AY138" s="92" t="s">
        <v>241</v>
      </c>
      <c r="AZ138" s="92" t="s">
        <v>224</v>
      </c>
      <c r="BA138" s="70" t="s">
        <v>57</v>
      </c>
      <c r="BC138" s="90">
        <f>AW138+AX138</f>
        <v>0</v>
      </c>
      <c r="BD138" s="90">
        <f>G138/(100-BE138)*100</f>
        <v>0</v>
      </c>
      <c r="BE138" s="90">
        <v>0</v>
      </c>
      <c r="BF138" s="90">
        <f>149</f>
        <v>149</v>
      </c>
      <c r="BH138" s="90">
        <f>F138*AO138</f>
        <v>0</v>
      </c>
      <c r="BI138" s="90">
        <f>F138*AP138</f>
        <v>0</v>
      </c>
      <c r="BJ138" s="90">
        <f>F138*G138</f>
        <v>0</v>
      </c>
      <c r="BK138" s="90"/>
      <c r="BL138" s="90">
        <v>764</v>
      </c>
      <c r="BW138" s="90">
        <v>21</v>
      </c>
      <c r="BX138" s="93" t="s">
        <v>252</v>
      </c>
    </row>
    <row r="139" spans="1:11" ht="15">
      <c r="A139" s="94"/>
      <c r="C139" s="95" t="s">
        <v>253</v>
      </c>
      <c r="D139" s="95" t="s">
        <v>49</v>
      </c>
      <c r="F139" s="96">
        <v>147.72</v>
      </c>
      <c r="K139" s="97"/>
    </row>
    <row r="140" spans="1:11" ht="15">
      <c r="A140" s="94"/>
      <c r="C140" s="95" t="s">
        <v>254</v>
      </c>
      <c r="D140" s="95" t="s">
        <v>49</v>
      </c>
      <c r="F140" s="96">
        <v>121.76</v>
      </c>
      <c r="K140" s="97"/>
    </row>
    <row r="141" spans="1:11" ht="15">
      <c r="A141" s="94"/>
      <c r="C141" s="95" t="s">
        <v>255</v>
      </c>
      <c r="D141" s="95" t="s">
        <v>49</v>
      </c>
      <c r="F141" s="96">
        <v>57.3</v>
      </c>
      <c r="K141" s="97"/>
    </row>
    <row r="142" spans="1:11" ht="15">
      <c r="A142" s="94"/>
      <c r="C142" s="95" t="s">
        <v>226</v>
      </c>
      <c r="D142" s="95" t="s">
        <v>49</v>
      </c>
      <c r="F142" s="96">
        <v>9.8034</v>
      </c>
      <c r="K142" s="97"/>
    </row>
    <row r="143" spans="1:76" ht="15">
      <c r="A143" s="88">
        <v>54</v>
      </c>
      <c r="B143" s="104" t="s">
        <v>256</v>
      </c>
      <c r="C143" s="59" t="s">
        <v>257</v>
      </c>
      <c r="D143" s="56"/>
      <c r="E143" s="89" t="s">
        <v>222</v>
      </c>
      <c r="F143" s="90">
        <v>326.78</v>
      </c>
      <c r="G143" s="281"/>
      <c r="H143" s="90">
        <f>F143*AO143</f>
        <v>0</v>
      </c>
      <c r="I143" s="90">
        <f>F143*AP143</f>
        <v>0</v>
      </c>
      <c r="J143" s="90">
        <f>F143*G143</f>
        <v>0</v>
      </c>
      <c r="K143" s="91" t="s">
        <v>79</v>
      </c>
      <c r="Z143" s="90">
        <f>IF(AQ143="5",BJ143,0)</f>
        <v>0</v>
      </c>
      <c r="AB143" s="90">
        <f>IF(AQ143="1",BH143,0)</f>
        <v>0</v>
      </c>
      <c r="AC143" s="90">
        <f>IF(AQ143="1",BI143,0)</f>
        <v>0</v>
      </c>
      <c r="AD143" s="90">
        <f>IF(AQ143="7",BH143,0)</f>
        <v>0</v>
      </c>
      <c r="AE143" s="90">
        <f>IF(AQ143="7",BI143,0)</f>
        <v>0</v>
      </c>
      <c r="AF143" s="90">
        <f>IF(AQ143="2",BH143,0)</f>
        <v>0</v>
      </c>
      <c r="AG143" s="90">
        <f>IF(AQ143="2",BI143,0)</f>
        <v>0</v>
      </c>
      <c r="AH143" s="90">
        <f>IF(AQ143="0",BJ143,0)</f>
        <v>0</v>
      </c>
      <c r="AI143" s="70" t="s">
        <v>49</v>
      </c>
      <c r="AJ143" s="90">
        <f>IF(AN143=0,J143,0)</f>
        <v>0</v>
      </c>
      <c r="AK143" s="90">
        <f>IF(AN143=12,J143,0)</f>
        <v>0</v>
      </c>
      <c r="AL143" s="90">
        <f>IF(AN143=21,J143,0)</f>
        <v>0</v>
      </c>
      <c r="AN143" s="90">
        <v>21</v>
      </c>
      <c r="AO143" s="90">
        <f>G143*0.30989588</f>
        <v>0</v>
      </c>
      <c r="AP143" s="90">
        <f>G143*(1-0.30989588)</f>
        <v>0</v>
      </c>
      <c r="AQ143" s="92" t="s">
        <v>69</v>
      </c>
      <c r="AV143" s="90">
        <f>AW143+AX143</f>
        <v>0</v>
      </c>
      <c r="AW143" s="90">
        <f>F143*AO143</f>
        <v>0</v>
      </c>
      <c r="AX143" s="90">
        <f>F143*AP143</f>
        <v>0</v>
      </c>
      <c r="AY143" s="92" t="s">
        <v>241</v>
      </c>
      <c r="AZ143" s="92" t="s">
        <v>224</v>
      </c>
      <c r="BA143" s="70" t="s">
        <v>57</v>
      </c>
      <c r="BC143" s="90">
        <f>AW143+AX143</f>
        <v>0</v>
      </c>
      <c r="BD143" s="90">
        <f>G143/(100-BE143)*100</f>
        <v>0</v>
      </c>
      <c r="BE143" s="90">
        <v>0</v>
      </c>
      <c r="BF143" s="90">
        <f>154</f>
        <v>154</v>
      </c>
      <c r="BH143" s="90">
        <f>F143*AO143</f>
        <v>0</v>
      </c>
      <c r="BI143" s="90">
        <f>F143*AP143</f>
        <v>0</v>
      </c>
      <c r="BJ143" s="90">
        <f>F143*G143</f>
        <v>0</v>
      </c>
      <c r="BK143" s="90"/>
      <c r="BL143" s="90">
        <v>764</v>
      </c>
      <c r="BW143" s="90">
        <v>21</v>
      </c>
      <c r="BX143" s="93" t="s">
        <v>257</v>
      </c>
    </row>
    <row r="144" spans="1:11" ht="15">
      <c r="A144" s="94"/>
      <c r="C144" s="95" t="s">
        <v>258</v>
      </c>
      <c r="D144" s="95" t="s">
        <v>49</v>
      </c>
      <c r="F144" s="96">
        <v>326.78</v>
      </c>
      <c r="K144" s="97"/>
    </row>
    <row r="145" spans="1:47" ht="15">
      <c r="A145" s="98" t="s">
        <v>49</v>
      </c>
      <c r="B145" s="99" t="s">
        <v>259</v>
      </c>
      <c r="C145" s="100" t="s">
        <v>260</v>
      </c>
      <c r="D145" s="101"/>
      <c r="E145" s="102" t="s">
        <v>3</v>
      </c>
      <c r="F145" s="102" t="s">
        <v>3</v>
      </c>
      <c r="G145" s="102" t="s">
        <v>3</v>
      </c>
      <c r="H145" s="49">
        <f>SUM(H146:H146)</f>
        <v>0</v>
      </c>
      <c r="I145" s="49">
        <f>SUM(I146:I146)</f>
        <v>0</v>
      </c>
      <c r="J145" s="49">
        <f>SUM(J146:J146)</f>
        <v>0</v>
      </c>
      <c r="K145" s="103" t="s">
        <v>49</v>
      </c>
      <c r="AI145" s="70" t="s">
        <v>49</v>
      </c>
      <c r="AS145" s="49">
        <f>SUM(AJ146:AJ146)</f>
        <v>0</v>
      </c>
      <c r="AT145" s="49">
        <f>SUM(AK146:AK146)</f>
        <v>0</v>
      </c>
      <c r="AU145" s="49">
        <f>SUM(AL146:AL146)</f>
        <v>0</v>
      </c>
    </row>
    <row r="146" spans="1:76" ht="15">
      <c r="A146" s="88">
        <v>55</v>
      </c>
      <c r="B146" s="89" t="s">
        <v>261</v>
      </c>
      <c r="C146" s="59" t="s">
        <v>262</v>
      </c>
      <c r="D146" s="56"/>
      <c r="E146" s="89" t="s">
        <v>78</v>
      </c>
      <c r="F146" s="90">
        <v>1652.534</v>
      </c>
      <c r="G146" s="281"/>
      <c r="H146" s="90">
        <f>F146*AO146</f>
        <v>0</v>
      </c>
      <c r="I146" s="90">
        <f>F146*AP146</f>
        <v>0</v>
      </c>
      <c r="J146" s="90">
        <f>F146*G146</f>
        <v>0</v>
      </c>
      <c r="K146" s="91" t="s">
        <v>79</v>
      </c>
      <c r="Z146" s="90">
        <f>IF(AQ146="5",BJ146,0)</f>
        <v>0</v>
      </c>
      <c r="AB146" s="90">
        <f>IF(AQ146="1",BH146,0)</f>
        <v>0</v>
      </c>
      <c r="AC146" s="90">
        <f>IF(AQ146="1",BI146,0)</f>
        <v>0</v>
      </c>
      <c r="AD146" s="90">
        <f>IF(AQ146="7",BH146,0)</f>
        <v>0</v>
      </c>
      <c r="AE146" s="90">
        <f>IF(AQ146="7",BI146,0)</f>
        <v>0</v>
      </c>
      <c r="AF146" s="90">
        <f>IF(AQ146="2",BH146,0)</f>
        <v>0</v>
      </c>
      <c r="AG146" s="90">
        <f>IF(AQ146="2",BI146,0)</f>
        <v>0</v>
      </c>
      <c r="AH146" s="90">
        <f>IF(AQ146="0",BJ146,0)</f>
        <v>0</v>
      </c>
      <c r="AI146" s="70" t="s">
        <v>49</v>
      </c>
      <c r="AJ146" s="90">
        <f>IF(AN146=0,J146,0)</f>
        <v>0</v>
      </c>
      <c r="AK146" s="90">
        <f>IF(AN146=12,J146,0)</f>
        <v>0</v>
      </c>
      <c r="AL146" s="90">
        <f>IF(AN146=21,J146,0)</f>
        <v>0</v>
      </c>
      <c r="AN146" s="90">
        <v>21</v>
      </c>
      <c r="AO146" s="90">
        <f>G146*0.001740231</f>
        <v>0</v>
      </c>
      <c r="AP146" s="90">
        <f>G146*(1-0.001740231)</f>
        <v>0</v>
      </c>
      <c r="AQ146" s="92" t="s">
        <v>52</v>
      </c>
      <c r="AV146" s="90">
        <f>AW146+AX146</f>
        <v>0</v>
      </c>
      <c r="AW146" s="90">
        <f>F146*AO146</f>
        <v>0</v>
      </c>
      <c r="AX146" s="90">
        <f>F146*AP146</f>
        <v>0</v>
      </c>
      <c r="AY146" s="92" t="s">
        <v>263</v>
      </c>
      <c r="AZ146" s="92" t="s">
        <v>264</v>
      </c>
      <c r="BA146" s="70" t="s">
        <v>57</v>
      </c>
      <c r="BC146" s="90">
        <f>AW146+AX146</f>
        <v>0</v>
      </c>
      <c r="BD146" s="90">
        <f>G146/(100-BE146)*100</f>
        <v>0</v>
      </c>
      <c r="BE146" s="90">
        <v>0</v>
      </c>
      <c r="BF146" s="90">
        <f>157</f>
        <v>157</v>
      </c>
      <c r="BH146" s="90">
        <f>F146*AO146</f>
        <v>0</v>
      </c>
      <c r="BI146" s="90">
        <f>F146*AP146</f>
        <v>0</v>
      </c>
      <c r="BJ146" s="90">
        <f>F146*G146</f>
        <v>0</v>
      </c>
      <c r="BK146" s="90"/>
      <c r="BL146" s="90">
        <v>95</v>
      </c>
      <c r="BW146" s="90">
        <v>21</v>
      </c>
      <c r="BX146" s="93" t="s">
        <v>262</v>
      </c>
    </row>
    <row r="147" spans="1:11" ht="15">
      <c r="A147" s="94"/>
      <c r="C147" s="95" t="s">
        <v>265</v>
      </c>
      <c r="D147" s="95" t="s">
        <v>49</v>
      </c>
      <c r="F147" s="96">
        <v>1397</v>
      </c>
      <c r="K147" s="97"/>
    </row>
    <row r="148" spans="1:11" ht="15">
      <c r="A148" s="94"/>
      <c r="C148" s="95" t="s">
        <v>116</v>
      </c>
      <c r="D148" s="95" t="s">
        <v>49</v>
      </c>
      <c r="F148" s="96">
        <v>157.5</v>
      </c>
      <c r="K148" s="97"/>
    </row>
    <row r="149" spans="1:11" ht="15">
      <c r="A149" s="94"/>
      <c r="C149" s="95" t="s">
        <v>151</v>
      </c>
      <c r="D149" s="95" t="s">
        <v>49</v>
      </c>
      <c r="F149" s="96">
        <v>98.034</v>
      </c>
      <c r="K149" s="97"/>
    </row>
    <row r="150" spans="1:47" ht="15">
      <c r="A150" s="98" t="s">
        <v>49</v>
      </c>
      <c r="B150" s="99" t="s">
        <v>266</v>
      </c>
      <c r="C150" s="100" t="s">
        <v>267</v>
      </c>
      <c r="D150" s="101"/>
      <c r="E150" s="102" t="s">
        <v>3</v>
      </c>
      <c r="F150" s="102" t="s">
        <v>3</v>
      </c>
      <c r="G150" s="102" t="s">
        <v>3</v>
      </c>
      <c r="H150" s="49">
        <f>SUM(H151:H151)</f>
        <v>0</v>
      </c>
      <c r="I150" s="49">
        <f>SUM(I151:I151)</f>
        <v>0</v>
      </c>
      <c r="J150" s="49">
        <f>SUM(J151:J151)</f>
        <v>0</v>
      </c>
      <c r="K150" s="103" t="s">
        <v>49</v>
      </c>
      <c r="AI150" s="70" t="s">
        <v>49</v>
      </c>
      <c r="AS150" s="49">
        <f>SUM(AJ151:AJ151)</f>
        <v>0</v>
      </c>
      <c r="AT150" s="49">
        <f>SUM(AK151:AK151)</f>
        <v>0</v>
      </c>
      <c r="AU150" s="49">
        <f>SUM(AL151:AL151)</f>
        <v>0</v>
      </c>
    </row>
    <row r="151" spans="1:76" ht="15">
      <c r="A151" s="88">
        <v>56</v>
      </c>
      <c r="B151" s="104" t="s">
        <v>268</v>
      </c>
      <c r="C151" s="59" t="s">
        <v>269</v>
      </c>
      <c r="D151" s="56"/>
      <c r="E151" s="89" t="s">
        <v>270</v>
      </c>
      <c r="F151" s="90">
        <v>34.73862</v>
      </c>
      <c r="G151" s="281"/>
      <c r="H151" s="90">
        <f>F151*AO151</f>
        <v>0</v>
      </c>
      <c r="I151" s="90">
        <f>F151*AP151</f>
        <v>0</v>
      </c>
      <c r="J151" s="90">
        <f>F151*G151</f>
        <v>0</v>
      </c>
      <c r="K151" s="91" t="s">
        <v>79</v>
      </c>
      <c r="Z151" s="90">
        <f>IF(AQ151="5",BJ151,0)</f>
        <v>0</v>
      </c>
      <c r="AB151" s="90">
        <f>IF(AQ151="1",BH151,0)</f>
        <v>0</v>
      </c>
      <c r="AC151" s="90">
        <f>IF(AQ151="1",BI151,0)</f>
        <v>0</v>
      </c>
      <c r="AD151" s="90">
        <f>IF(AQ151="7",BH151,0)</f>
        <v>0</v>
      </c>
      <c r="AE151" s="90">
        <f>IF(AQ151="7",BI151,0)</f>
        <v>0</v>
      </c>
      <c r="AF151" s="90">
        <f>IF(AQ151="2",BH151,0)</f>
        <v>0</v>
      </c>
      <c r="AG151" s="90">
        <f>IF(AQ151="2",BI151,0)</f>
        <v>0</v>
      </c>
      <c r="AH151" s="90">
        <f>IF(AQ151="0",BJ151,0)</f>
        <v>0</v>
      </c>
      <c r="AI151" s="70" t="s">
        <v>49</v>
      </c>
      <c r="AJ151" s="90">
        <f>IF(AN151=0,J151,0)</f>
        <v>0</v>
      </c>
      <c r="AK151" s="90">
        <f>IF(AN151=12,J151,0)</f>
        <v>0</v>
      </c>
      <c r="AL151" s="90">
        <f>IF(AN151=21,J151,0)</f>
        <v>0</v>
      </c>
      <c r="AN151" s="90">
        <v>21</v>
      </c>
      <c r="AO151" s="90">
        <f>G151*0</f>
        <v>0</v>
      </c>
      <c r="AP151" s="90">
        <f>G151*(1-0)</f>
        <v>0</v>
      </c>
      <c r="AQ151" s="92" t="s">
        <v>86</v>
      </c>
      <c r="AV151" s="90">
        <f>AW151+AX151</f>
        <v>0</v>
      </c>
      <c r="AW151" s="90">
        <f>F151*AO151</f>
        <v>0</v>
      </c>
      <c r="AX151" s="90">
        <f>F151*AP151</f>
        <v>0</v>
      </c>
      <c r="AY151" s="92" t="s">
        <v>271</v>
      </c>
      <c r="AZ151" s="92" t="s">
        <v>264</v>
      </c>
      <c r="BA151" s="70" t="s">
        <v>57</v>
      </c>
      <c r="BC151" s="90">
        <f>AW151+AX151</f>
        <v>0</v>
      </c>
      <c r="BD151" s="90">
        <f>G151/(100-BE151)*100</f>
        <v>0</v>
      </c>
      <c r="BE151" s="90">
        <v>0</v>
      </c>
      <c r="BF151" s="90">
        <f>162</f>
        <v>162</v>
      </c>
      <c r="BH151" s="90">
        <f>F151*AO151</f>
        <v>0</v>
      </c>
      <c r="BI151" s="90">
        <f>F151*AP151</f>
        <v>0</v>
      </c>
      <c r="BJ151" s="90">
        <f>F151*G151</f>
        <v>0</v>
      </c>
      <c r="BK151" s="90"/>
      <c r="BL151" s="90"/>
      <c r="BW151" s="90">
        <v>21</v>
      </c>
      <c r="BX151" s="93" t="s">
        <v>269</v>
      </c>
    </row>
    <row r="152" spans="1:11" ht="15">
      <c r="A152" s="94"/>
      <c r="C152" s="95" t="s">
        <v>272</v>
      </c>
      <c r="D152" s="95" t="s">
        <v>49</v>
      </c>
      <c r="F152" s="96">
        <v>34.73862</v>
      </c>
      <c r="K152" s="97"/>
    </row>
    <row r="153" spans="1:47" ht="15">
      <c r="A153" s="98" t="s">
        <v>49</v>
      </c>
      <c r="B153" s="99" t="s">
        <v>273</v>
      </c>
      <c r="C153" s="100" t="s">
        <v>274</v>
      </c>
      <c r="D153" s="101"/>
      <c r="E153" s="102" t="s">
        <v>3</v>
      </c>
      <c r="F153" s="102" t="s">
        <v>3</v>
      </c>
      <c r="G153" s="102" t="s">
        <v>3</v>
      </c>
      <c r="H153" s="49">
        <f>SUM(H154:H164)</f>
        <v>0</v>
      </c>
      <c r="I153" s="49">
        <f>SUM(I154:I164)</f>
        <v>0</v>
      </c>
      <c r="J153" s="49">
        <f>SUM(J154:J164)</f>
        <v>0</v>
      </c>
      <c r="K153" s="103" t="s">
        <v>49</v>
      </c>
      <c r="AI153" s="70" t="s">
        <v>49</v>
      </c>
      <c r="AS153" s="49">
        <f>SUM(AJ154:AJ164)</f>
        <v>0</v>
      </c>
      <c r="AT153" s="49">
        <f>SUM(AK154:AK164)</f>
        <v>0</v>
      </c>
      <c r="AU153" s="49">
        <f>SUM(AL154:AL164)</f>
        <v>0</v>
      </c>
    </row>
    <row r="154" spans="1:76" ht="15">
      <c r="A154" s="88">
        <v>57</v>
      </c>
      <c r="B154" s="89" t="s">
        <v>275</v>
      </c>
      <c r="C154" s="59" t="s">
        <v>276</v>
      </c>
      <c r="D154" s="56"/>
      <c r="E154" s="89" t="s">
        <v>270</v>
      </c>
      <c r="F154" s="90">
        <v>0.87225</v>
      </c>
      <c r="G154" s="281"/>
      <c r="H154" s="90">
        <f>F154*AO154</f>
        <v>0</v>
      </c>
      <c r="I154" s="90">
        <f>F154*AP154</f>
        <v>0</v>
      </c>
      <c r="J154" s="90">
        <f>F154*G154</f>
        <v>0</v>
      </c>
      <c r="K154" s="91" t="s">
        <v>79</v>
      </c>
      <c r="Z154" s="90">
        <f>IF(AQ154="5",BJ154,0)</f>
        <v>0</v>
      </c>
      <c r="AB154" s="90">
        <f>IF(AQ154="1",BH154,0)</f>
        <v>0</v>
      </c>
      <c r="AC154" s="90">
        <f>IF(AQ154="1",BI154,0)</f>
        <v>0</v>
      </c>
      <c r="AD154" s="90">
        <f>IF(AQ154="7",BH154,0)</f>
        <v>0</v>
      </c>
      <c r="AE154" s="90">
        <f>IF(AQ154="7",BI154,0)</f>
        <v>0</v>
      </c>
      <c r="AF154" s="90">
        <f>IF(AQ154="2",BH154,0)</f>
        <v>0</v>
      </c>
      <c r="AG154" s="90">
        <f>IF(AQ154="2",BI154,0)</f>
        <v>0</v>
      </c>
      <c r="AH154" s="90">
        <f>IF(AQ154="0",BJ154,0)</f>
        <v>0</v>
      </c>
      <c r="AI154" s="70" t="s">
        <v>49</v>
      </c>
      <c r="AJ154" s="90">
        <f>IF(AN154=0,J154,0)</f>
        <v>0</v>
      </c>
      <c r="AK154" s="90">
        <f>IF(AN154=12,J154,0)</f>
        <v>0</v>
      </c>
      <c r="AL154" s="90">
        <f>IF(AN154=21,J154,0)</f>
        <v>0</v>
      </c>
      <c r="AN154" s="90">
        <v>21</v>
      </c>
      <c r="AO154" s="90">
        <f>G154*0</f>
        <v>0</v>
      </c>
      <c r="AP154" s="90">
        <f>G154*(1-0)</f>
        <v>0</v>
      </c>
      <c r="AQ154" s="92" t="s">
        <v>86</v>
      </c>
      <c r="AV154" s="90">
        <f>AW154+AX154</f>
        <v>0</v>
      </c>
      <c r="AW154" s="90">
        <f>F154*AO154</f>
        <v>0</v>
      </c>
      <c r="AX154" s="90">
        <f>F154*AP154</f>
        <v>0</v>
      </c>
      <c r="AY154" s="92" t="s">
        <v>277</v>
      </c>
      <c r="AZ154" s="92" t="s">
        <v>264</v>
      </c>
      <c r="BA154" s="70" t="s">
        <v>57</v>
      </c>
      <c r="BC154" s="90">
        <f>AW154+AX154</f>
        <v>0</v>
      </c>
      <c r="BD154" s="90">
        <f>G154/(100-BE154)*100</f>
        <v>0</v>
      </c>
      <c r="BE154" s="90">
        <v>0</v>
      </c>
      <c r="BF154" s="90">
        <f>165</f>
        <v>165</v>
      </c>
      <c r="BH154" s="90">
        <f>F154*AO154</f>
        <v>0</v>
      </c>
      <c r="BI154" s="90">
        <f>F154*AP154</f>
        <v>0</v>
      </c>
      <c r="BJ154" s="90">
        <f>F154*G154</f>
        <v>0</v>
      </c>
      <c r="BK154" s="90"/>
      <c r="BL154" s="90"/>
      <c r="BW154" s="90">
        <v>21</v>
      </c>
      <c r="BX154" s="93" t="s">
        <v>276</v>
      </c>
    </row>
    <row r="155" spans="1:11" ht="15">
      <c r="A155" s="94"/>
      <c r="C155" s="95" t="s">
        <v>278</v>
      </c>
      <c r="D155" s="95" t="s">
        <v>49</v>
      </c>
      <c r="F155" s="96">
        <v>0.87225</v>
      </c>
      <c r="K155" s="97"/>
    </row>
    <row r="156" spans="1:76" ht="15">
      <c r="A156" s="88">
        <v>58</v>
      </c>
      <c r="B156" s="89" t="s">
        <v>280</v>
      </c>
      <c r="C156" s="59" t="s">
        <v>281</v>
      </c>
      <c r="D156" s="56"/>
      <c r="E156" s="89" t="s">
        <v>270</v>
      </c>
      <c r="F156" s="90">
        <v>0.87225</v>
      </c>
      <c r="G156" s="281"/>
      <c r="H156" s="90">
        <f>F156*AO156</f>
        <v>0</v>
      </c>
      <c r="I156" s="90">
        <f>F156*AP156</f>
        <v>0</v>
      </c>
      <c r="J156" s="90">
        <f>F156*G156</f>
        <v>0</v>
      </c>
      <c r="K156" s="91" t="s">
        <v>79</v>
      </c>
      <c r="Z156" s="90">
        <f>IF(AQ156="5",BJ156,0)</f>
        <v>0</v>
      </c>
      <c r="AB156" s="90">
        <f>IF(AQ156="1",BH156,0)</f>
        <v>0</v>
      </c>
      <c r="AC156" s="90">
        <f>IF(AQ156="1",BI156,0)</f>
        <v>0</v>
      </c>
      <c r="AD156" s="90">
        <f>IF(AQ156="7",BH156,0)</f>
        <v>0</v>
      </c>
      <c r="AE156" s="90">
        <f>IF(AQ156="7",BI156,0)</f>
        <v>0</v>
      </c>
      <c r="AF156" s="90">
        <f>IF(AQ156="2",BH156,0)</f>
        <v>0</v>
      </c>
      <c r="AG156" s="90">
        <f>IF(AQ156="2",BI156,0)</f>
        <v>0</v>
      </c>
      <c r="AH156" s="90">
        <f>IF(AQ156="0",BJ156,0)</f>
        <v>0</v>
      </c>
      <c r="AI156" s="70" t="s">
        <v>49</v>
      </c>
      <c r="AJ156" s="90">
        <f>IF(AN156=0,J156,0)</f>
        <v>0</v>
      </c>
      <c r="AK156" s="90">
        <f>IF(AN156=12,J156,0)</f>
        <v>0</v>
      </c>
      <c r="AL156" s="90">
        <f>IF(AN156=21,J156,0)</f>
        <v>0</v>
      </c>
      <c r="AN156" s="90">
        <v>21</v>
      </c>
      <c r="AO156" s="90">
        <f>G156*0</f>
        <v>0</v>
      </c>
      <c r="AP156" s="90">
        <f>G156*(1-0)</f>
        <v>0</v>
      </c>
      <c r="AQ156" s="92" t="s">
        <v>86</v>
      </c>
      <c r="AV156" s="90">
        <f>AW156+AX156</f>
        <v>0</v>
      </c>
      <c r="AW156" s="90">
        <f>F156*AO156</f>
        <v>0</v>
      </c>
      <c r="AX156" s="90">
        <f>F156*AP156</f>
        <v>0</v>
      </c>
      <c r="AY156" s="92" t="s">
        <v>277</v>
      </c>
      <c r="AZ156" s="92" t="s">
        <v>264</v>
      </c>
      <c r="BA156" s="70" t="s">
        <v>57</v>
      </c>
      <c r="BC156" s="90">
        <f>AW156+AX156</f>
        <v>0</v>
      </c>
      <c r="BD156" s="90">
        <f>G156/(100-BE156)*100</f>
        <v>0</v>
      </c>
      <c r="BE156" s="90">
        <v>0</v>
      </c>
      <c r="BF156" s="90">
        <f>167</f>
        <v>167</v>
      </c>
      <c r="BH156" s="90">
        <f>F156*AO156</f>
        <v>0</v>
      </c>
      <c r="BI156" s="90">
        <f>F156*AP156</f>
        <v>0</v>
      </c>
      <c r="BJ156" s="90">
        <f>F156*G156</f>
        <v>0</v>
      </c>
      <c r="BK156" s="90"/>
      <c r="BL156" s="90"/>
      <c r="BW156" s="90">
        <v>21</v>
      </c>
      <c r="BX156" s="93" t="s">
        <v>281</v>
      </c>
    </row>
    <row r="157" spans="1:11" ht="15">
      <c r="A157" s="94"/>
      <c r="C157" s="95" t="s">
        <v>278</v>
      </c>
      <c r="D157" s="95" t="s">
        <v>49</v>
      </c>
      <c r="F157" s="96">
        <v>0.87225</v>
      </c>
      <c r="K157" s="97"/>
    </row>
    <row r="158" spans="1:76" ht="15">
      <c r="A158" s="88">
        <v>59</v>
      </c>
      <c r="B158" s="89" t="s">
        <v>282</v>
      </c>
      <c r="C158" s="59" t="s">
        <v>283</v>
      </c>
      <c r="D158" s="56"/>
      <c r="E158" s="89" t="s">
        <v>270</v>
      </c>
      <c r="F158" s="90">
        <v>0.87225</v>
      </c>
      <c r="G158" s="281"/>
      <c r="H158" s="90">
        <f>F158*AO158</f>
        <v>0</v>
      </c>
      <c r="I158" s="90">
        <f>F158*AP158</f>
        <v>0</v>
      </c>
      <c r="J158" s="90">
        <f>F158*G158</f>
        <v>0</v>
      </c>
      <c r="K158" s="91" t="s">
        <v>79</v>
      </c>
      <c r="Z158" s="90">
        <f>IF(AQ158="5",BJ158,0)</f>
        <v>0</v>
      </c>
      <c r="AB158" s="90">
        <f>IF(AQ158="1",BH158,0)</f>
        <v>0</v>
      </c>
      <c r="AC158" s="90">
        <f>IF(AQ158="1",BI158,0)</f>
        <v>0</v>
      </c>
      <c r="AD158" s="90">
        <f>IF(AQ158="7",BH158,0)</f>
        <v>0</v>
      </c>
      <c r="AE158" s="90">
        <f>IF(AQ158="7",BI158,0)</f>
        <v>0</v>
      </c>
      <c r="AF158" s="90">
        <f>IF(AQ158="2",BH158,0)</f>
        <v>0</v>
      </c>
      <c r="AG158" s="90">
        <f>IF(AQ158="2",BI158,0)</f>
        <v>0</v>
      </c>
      <c r="AH158" s="90">
        <f>IF(AQ158="0",BJ158,0)</f>
        <v>0</v>
      </c>
      <c r="AI158" s="70" t="s">
        <v>49</v>
      </c>
      <c r="AJ158" s="90">
        <f>IF(AN158=0,J158,0)</f>
        <v>0</v>
      </c>
      <c r="AK158" s="90">
        <f>IF(AN158=12,J158,0)</f>
        <v>0</v>
      </c>
      <c r="AL158" s="90">
        <f>IF(AN158=21,J158,0)</f>
        <v>0</v>
      </c>
      <c r="AN158" s="90">
        <v>21</v>
      </c>
      <c r="AO158" s="90">
        <f>G158*0</f>
        <v>0</v>
      </c>
      <c r="AP158" s="90">
        <f>G158*(1-0)</f>
        <v>0</v>
      </c>
      <c r="AQ158" s="92" t="s">
        <v>86</v>
      </c>
      <c r="AV158" s="90">
        <f>AW158+AX158</f>
        <v>0</v>
      </c>
      <c r="AW158" s="90">
        <f>F158*AO158</f>
        <v>0</v>
      </c>
      <c r="AX158" s="90">
        <f>F158*AP158</f>
        <v>0</v>
      </c>
      <c r="AY158" s="92" t="s">
        <v>277</v>
      </c>
      <c r="AZ158" s="92" t="s">
        <v>264</v>
      </c>
      <c r="BA158" s="70" t="s">
        <v>57</v>
      </c>
      <c r="BC158" s="90">
        <f>AW158+AX158</f>
        <v>0</v>
      </c>
      <c r="BD158" s="90">
        <f>G158/(100-BE158)*100</f>
        <v>0</v>
      </c>
      <c r="BE158" s="90">
        <v>0</v>
      </c>
      <c r="BF158" s="90">
        <f>169</f>
        <v>169</v>
      </c>
      <c r="BH158" s="90">
        <f>F158*AO158</f>
        <v>0</v>
      </c>
      <c r="BI158" s="90">
        <f>F158*AP158</f>
        <v>0</v>
      </c>
      <c r="BJ158" s="90">
        <f>F158*G158</f>
        <v>0</v>
      </c>
      <c r="BK158" s="90"/>
      <c r="BL158" s="90"/>
      <c r="BW158" s="90">
        <v>21</v>
      </c>
      <c r="BX158" s="93" t="s">
        <v>283</v>
      </c>
    </row>
    <row r="159" spans="1:11" ht="15">
      <c r="A159" s="94"/>
      <c r="C159" s="95" t="s">
        <v>278</v>
      </c>
      <c r="D159" s="95" t="s">
        <v>49</v>
      </c>
      <c r="F159" s="96">
        <v>0.87225</v>
      </c>
      <c r="K159" s="97"/>
    </row>
    <row r="160" spans="1:76" ht="15">
      <c r="A160" s="88">
        <v>60</v>
      </c>
      <c r="B160" s="89" t="s">
        <v>284</v>
      </c>
      <c r="C160" s="59" t="s">
        <v>285</v>
      </c>
      <c r="D160" s="56"/>
      <c r="E160" s="89" t="s">
        <v>270</v>
      </c>
      <c r="F160" s="90">
        <v>0.87225</v>
      </c>
      <c r="G160" s="281"/>
      <c r="H160" s="90">
        <f>F160*AO160</f>
        <v>0</v>
      </c>
      <c r="I160" s="90">
        <f>F160*AP160</f>
        <v>0</v>
      </c>
      <c r="J160" s="90">
        <f>F160*G160</f>
        <v>0</v>
      </c>
      <c r="K160" s="91" t="s">
        <v>79</v>
      </c>
      <c r="Z160" s="90">
        <f>IF(AQ160="5",BJ160,0)</f>
        <v>0</v>
      </c>
      <c r="AB160" s="90">
        <f>IF(AQ160="1",BH160,0)</f>
        <v>0</v>
      </c>
      <c r="AC160" s="90">
        <f>IF(AQ160="1",BI160,0)</f>
        <v>0</v>
      </c>
      <c r="AD160" s="90">
        <f>IF(AQ160="7",BH160,0)</f>
        <v>0</v>
      </c>
      <c r="AE160" s="90">
        <f>IF(AQ160="7",BI160,0)</f>
        <v>0</v>
      </c>
      <c r="AF160" s="90">
        <f>IF(AQ160="2",BH160,0)</f>
        <v>0</v>
      </c>
      <c r="AG160" s="90">
        <f>IF(AQ160="2",BI160,0)</f>
        <v>0</v>
      </c>
      <c r="AH160" s="90">
        <f>IF(AQ160="0",BJ160,0)</f>
        <v>0</v>
      </c>
      <c r="AI160" s="70" t="s">
        <v>49</v>
      </c>
      <c r="AJ160" s="90">
        <f>IF(AN160=0,J160,0)</f>
        <v>0</v>
      </c>
      <c r="AK160" s="90">
        <f>IF(AN160=12,J160,0)</f>
        <v>0</v>
      </c>
      <c r="AL160" s="90">
        <f>IF(AN160=21,J160,0)</f>
        <v>0</v>
      </c>
      <c r="AN160" s="90">
        <v>21</v>
      </c>
      <c r="AO160" s="90">
        <f>G160*0</f>
        <v>0</v>
      </c>
      <c r="AP160" s="90">
        <f>G160*(1-0)</f>
        <v>0</v>
      </c>
      <c r="AQ160" s="92" t="s">
        <v>86</v>
      </c>
      <c r="AV160" s="90">
        <f>AW160+AX160</f>
        <v>0</v>
      </c>
      <c r="AW160" s="90">
        <f>F160*AO160</f>
        <v>0</v>
      </c>
      <c r="AX160" s="90">
        <f>F160*AP160</f>
        <v>0</v>
      </c>
      <c r="AY160" s="92" t="s">
        <v>277</v>
      </c>
      <c r="AZ160" s="92" t="s">
        <v>264</v>
      </c>
      <c r="BA160" s="70" t="s">
        <v>57</v>
      </c>
      <c r="BC160" s="90">
        <f>AW160+AX160</f>
        <v>0</v>
      </c>
      <c r="BD160" s="90">
        <f>G160/(100-BE160)*100</f>
        <v>0</v>
      </c>
      <c r="BE160" s="90">
        <v>0</v>
      </c>
      <c r="BF160" s="90">
        <f>171</f>
        <v>171</v>
      </c>
      <c r="BH160" s="90">
        <f>F160*AO160</f>
        <v>0</v>
      </c>
      <c r="BI160" s="90">
        <f>F160*AP160</f>
        <v>0</v>
      </c>
      <c r="BJ160" s="90">
        <f>F160*G160</f>
        <v>0</v>
      </c>
      <c r="BK160" s="90"/>
      <c r="BL160" s="90"/>
      <c r="BW160" s="90">
        <v>21</v>
      </c>
      <c r="BX160" s="93" t="s">
        <v>285</v>
      </c>
    </row>
    <row r="161" spans="1:11" ht="15">
      <c r="A161" s="94"/>
      <c r="C161" s="95" t="s">
        <v>278</v>
      </c>
      <c r="D161" s="95" t="s">
        <v>49</v>
      </c>
      <c r="F161" s="96">
        <v>0.87225</v>
      </c>
      <c r="K161" s="97"/>
    </row>
    <row r="162" spans="1:76" ht="15">
      <c r="A162" s="88">
        <v>61</v>
      </c>
      <c r="B162" s="89" t="s">
        <v>286</v>
      </c>
      <c r="C162" s="59" t="s">
        <v>287</v>
      </c>
      <c r="D162" s="56"/>
      <c r="E162" s="89" t="s">
        <v>270</v>
      </c>
      <c r="F162" s="90">
        <v>16.57275</v>
      </c>
      <c r="G162" s="281"/>
      <c r="H162" s="90">
        <f>F162*AO162</f>
        <v>0</v>
      </c>
      <c r="I162" s="90">
        <f>F162*AP162</f>
        <v>0</v>
      </c>
      <c r="J162" s="90">
        <f>F162*G162</f>
        <v>0</v>
      </c>
      <c r="K162" s="91" t="s">
        <v>79</v>
      </c>
      <c r="Z162" s="90">
        <f>IF(AQ162="5",BJ162,0)</f>
        <v>0</v>
      </c>
      <c r="AB162" s="90">
        <f>IF(AQ162="1",BH162,0)</f>
        <v>0</v>
      </c>
      <c r="AC162" s="90">
        <f>IF(AQ162="1",BI162,0)</f>
        <v>0</v>
      </c>
      <c r="AD162" s="90">
        <f>IF(AQ162="7",BH162,0)</f>
        <v>0</v>
      </c>
      <c r="AE162" s="90">
        <f>IF(AQ162="7",BI162,0)</f>
        <v>0</v>
      </c>
      <c r="AF162" s="90">
        <f>IF(AQ162="2",BH162,0)</f>
        <v>0</v>
      </c>
      <c r="AG162" s="90">
        <f>IF(AQ162="2",BI162,0)</f>
        <v>0</v>
      </c>
      <c r="AH162" s="90">
        <f>IF(AQ162="0",BJ162,0)</f>
        <v>0</v>
      </c>
      <c r="AI162" s="70" t="s">
        <v>49</v>
      </c>
      <c r="AJ162" s="90">
        <f>IF(AN162=0,J162,0)</f>
        <v>0</v>
      </c>
      <c r="AK162" s="90">
        <f>IF(AN162=12,J162,0)</f>
        <v>0</v>
      </c>
      <c r="AL162" s="90">
        <f>IF(AN162=21,J162,0)</f>
        <v>0</v>
      </c>
      <c r="AN162" s="90">
        <v>21</v>
      </c>
      <c r="AO162" s="90">
        <f>G162*0</f>
        <v>0</v>
      </c>
      <c r="AP162" s="90">
        <f>G162*(1-0)</f>
        <v>0</v>
      </c>
      <c r="AQ162" s="92" t="s">
        <v>86</v>
      </c>
      <c r="AV162" s="90">
        <f>AW162+AX162</f>
        <v>0</v>
      </c>
      <c r="AW162" s="90">
        <f>F162*AO162</f>
        <v>0</v>
      </c>
      <c r="AX162" s="90">
        <f>F162*AP162</f>
        <v>0</v>
      </c>
      <c r="AY162" s="92" t="s">
        <v>277</v>
      </c>
      <c r="AZ162" s="92" t="s">
        <v>264</v>
      </c>
      <c r="BA162" s="70" t="s">
        <v>57</v>
      </c>
      <c r="BC162" s="90">
        <f>AW162+AX162</f>
        <v>0</v>
      </c>
      <c r="BD162" s="90">
        <f>G162/(100-BE162)*100</f>
        <v>0</v>
      </c>
      <c r="BE162" s="90">
        <v>0</v>
      </c>
      <c r="BF162" s="90">
        <f>173</f>
        <v>173</v>
      </c>
      <c r="BH162" s="90">
        <f>F162*AO162</f>
        <v>0</v>
      </c>
      <c r="BI162" s="90">
        <f>F162*AP162</f>
        <v>0</v>
      </c>
      <c r="BJ162" s="90">
        <f>F162*G162</f>
        <v>0</v>
      </c>
      <c r="BK162" s="90"/>
      <c r="BL162" s="90"/>
      <c r="BW162" s="90">
        <v>21</v>
      </c>
      <c r="BX162" s="93" t="s">
        <v>287</v>
      </c>
    </row>
    <row r="163" spans="1:11" ht="15">
      <c r="A163" s="94"/>
      <c r="C163" s="95" t="s">
        <v>288</v>
      </c>
      <c r="D163" s="95" t="s">
        <v>49</v>
      </c>
      <c r="F163" s="96">
        <v>16.57275</v>
      </c>
      <c r="K163" s="97"/>
    </row>
    <row r="164" spans="1:76" ht="15">
      <c r="A164" s="88">
        <v>62</v>
      </c>
      <c r="B164" s="89" t="s">
        <v>289</v>
      </c>
      <c r="C164" s="59" t="s">
        <v>290</v>
      </c>
      <c r="D164" s="56"/>
      <c r="E164" s="89" t="s">
        <v>270</v>
      </c>
      <c r="F164" s="90">
        <v>0.87225</v>
      </c>
      <c r="G164" s="281"/>
      <c r="H164" s="90">
        <f>F164*AO164</f>
        <v>0</v>
      </c>
      <c r="I164" s="90">
        <f>F164*AP164</f>
        <v>0</v>
      </c>
      <c r="J164" s="90">
        <f>F164*G164</f>
        <v>0</v>
      </c>
      <c r="K164" s="91" t="s">
        <v>79</v>
      </c>
      <c r="Z164" s="90">
        <f>IF(AQ164="5",BJ164,0)</f>
        <v>0</v>
      </c>
      <c r="AB164" s="90">
        <f>IF(AQ164="1",BH164,0)</f>
        <v>0</v>
      </c>
      <c r="AC164" s="90">
        <f>IF(AQ164="1",BI164,0)</f>
        <v>0</v>
      </c>
      <c r="AD164" s="90">
        <f>IF(AQ164="7",BH164,0)</f>
        <v>0</v>
      </c>
      <c r="AE164" s="90">
        <f>IF(AQ164="7",BI164,0)</f>
        <v>0</v>
      </c>
      <c r="AF164" s="90">
        <f>IF(AQ164="2",BH164,0)</f>
        <v>0</v>
      </c>
      <c r="AG164" s="90">
        <f>IF(AQ164="2",BI164,0)</f>
        <v>0</v>
      </c>
      <c r="AH164" s="90">
        <f>IF(AQ164="0",BJ164,0)</f>
        <v>0</v>
      </c>
      <c r="AI164" s="70" t="s">
        <v>49</v>
      </c>
      <c r="AJ164" s="90">
        <f>IF(AN164=0,J164,0)</f>
        <v>0</v>
      </c>
      <c r="AK164" s="90">
        <f>IF(AN164=12,J164,0)</f>
        <v>0</v>
      </c>
      <c r="AL164" s="90">
        <f>IF(AN164=21,J164,0)</f>
        <v>0</v>
      </c>
      <c r="AN164" s="90">
        <v>21</v>
      </c>
      <c r="AO164" s="90">
        <f>G164*0</f>
        <v>0</v>
      </c>
      <c r="AP164" s="90">
        <f>G164*(1-0)</f>
        <v>0</v>
      </c>
      <c r="AQ164" s="92" t="s">
        <v>86</v>
      </c>
      <c r="AV164" s="90">
        <f>AW164+AX164</f>
        <v>0</v>
      </c>
      <c r="AW164" s="90">
        <f>F164*AO164</f>
        <v>0</v>
      </c>
      <c r="AX164" s="90">
        <f>F164*AP164</f>
        <v>0</v>
      </c>
      <c r="AY164" s="92" t="s">
        <v>277</v>
      </c>
      <c r="AZ164" s="92" t="s">
        <v>264</v>
      </c>
      <c r="BA164" s="70" t="s">
        <v>57</v>
      </c>
      <c r="BC164" s="90">
        <f>AW164+AX164</f>
        <v>0</v>
      </c>
      <c r="BD164" s="90">
        <f>G164/(100-BE164)*100</f>
        <v>0</v>
      </c>
      <c r="BE164" s="90">
        <v>0</v>
      </c>
      <c r="BF164" s="90">
        <f>175</f>
        <v>175</v>
      </c>
      <c r="BH164" s="90">
        <f>F164*AO164</f>
        <v>0</v>
      </c>
      <c r="BI164" s="90">
        <f>F164*AP164</f>
        <v>0</v>
      </c>
      <c r="BJ164" s="90">
        <f>F164*G164</f>
        <v>0</v>
      </c>
      <c r="BK164" s="90"/>
      <c r="BL164" s="90"/>
      <c r="BW164" s="90">
        <v>21</v>
      </c>
      <c r="BX164" s="93" t="s">
        <v>290</v>
      </c>
    </row>
    <row r="165" spans="1:11" ht="15">
      <c r="A165" s="94"/>
      <c r="C165" s="95" t="s">
        <v>278</v>
      </c>
      <c r="D165" s="95" t="s">
        <v>49</v>
      </c>
      <c r="F165" s="96">
        <v>0.87225</v>
      </c>
      <c r="K165" s="97"/>
    </row>
    <row r="166" spans="1:47" ht="15">
      <c r="A166" s="98" t="s">
        <v>49</v>
      </c>
      <c r="B166" s="99" t="s">
        <v>291</v>
      </c>
      <c r="C166" s="100" t="s">
        <v>292</v>
      </c>
      <c r="D166" s="101"/>
      <c r="E166" s="102" t="s">
        <v>3</v>
      </c>
      <c r="F166" s="102" t="s">
        <v>3</v>
      </c>
      <c r="G166" s="102" t="s">
        <v>3</v>
      </c>
      <c r="H166" s="49">
        <f>SUM(H167:H168)</f>
        <v>0</v>
      </c>
      <c r="I166" s="49">
        <f>SUM(I167:I168)</f>
        <v>0</v>
      </c>
      <c r="J166" s="49">
        <f>SUM(J167:J168)</f>
        <v>0</v>
      </c>
      <c r="K166" s="103" t="s">
        <v>49</v>
      </c>
      <c r="AI166" s="70" t="s">
        <v>49</v>
      </c>
      <c r="AS166" s="49">
        <f>SUM(AJ167:AJ168)</f>
        <v>0</v>
      </c>
      <c r="AT166" s="49">
        <f>SUM(AK167:AK168)</f>
        <v>0</v>
      </c>
      <c r="AU166" s="49">
        <f>SUM(AL167:AL168)</f>
        <v>0</v>
      </c>
    </row>
    <row r="167" spans="1:76" ht="15">
      <c r="A167" s="88">
        <v>63</v>
      </c>
      <c r="B167" s="89" t="s">
        <v>293</v>
      </c>
      <c r="C167" s="59" t="s">
        <v>294</v>
      </c>
      <c r="D167" s="56"/>
      <c r="E167" s="89" t="s">
        <v>295</v>
      </c>
      <c r="F167" s="90">
        <v>3.25</v>
      </c>
      <c r="G167" s="281"/>
      <c r="H167" s="90">
        <f>F167*AO167</f>
        <v>0</v>
      </c>
      <c r="I167" s="90">
        <f>F167*AP167</f>
        <v>0</v>
      </c>
      <c r="J167" s="90">
        <f>F167*G167</f>
        <v>0</v>
      </c>
      <c r="K167" s="91" t="s">
        <v>49</v>
      </c>
      <c r="Z167" s="90">
        <f>IF(AQ167="5",BJ167,0)</f>
        <v>0</v>
      </c>
      <c r="AB167" s="90">
        <f>IF(AQ167="1",BH167,0)</f>
        <v>0</v>
      </c>
      <c r="AC167" s="90">
        <f>IF(AQ167="1",BI167,0)</f>
        <v>0</v>
      </c>
      <c r="AD167" s="90">
        <f>IF(AQ167="7",BH167,0)</f>
        <v>0</v>
      </c>
      <c r="AE167" s="90">
        <f>IF(AQ167="7",BI167,0)</f>
        <v>0</v>
      </c>
      <c r="AF167" s="90">
        <f>IF(AQ167="2",BH167,0)</f>
        <v>0</v>
      </c>
      <c r="AG167" s="90">
        <f>IF(AQ167="2",BI167,0)</f>
        <v>0</v>
      </c>
      <c r="AH167" s="90">
        <f>IF(AQ167="0",BJ167,0)</f>
        <v>0</v>
      </c>
      <c r="AI167" s="70" t="s">
        <v>49</v>
      </c>
      <c r="AJ167" s="90">
        <f>IF(AN167=0,J167,0)</f>
        <v>0</v>
      </c>
      <c r="AK167" s="90">
        <f>IF(AN167=12,J167,0)</f>
        <v>0</v>
      </c>
      <c r="AL167" s="90">
        <f>IF(AN167=21,J167,0)</f>
        <v>0</v>
      </c>
      <c r="AN167" s="90">
        <v>21</v>
      </c>
      <c r="AO167" s="90">
        <f>G167*0</f>
        <v>0</v>
      </c>
      <c r="AP167" s="90">
        <f>G167*(1-0)</f>
        <v>0</v>
      </c>
      <c r="AQ167" s="92" t="s">
        <v>52</v>
      </c>
      <c r="AV167" s="90">
        <f>AW167+AX167</f>
        <v>0</v>
      </c>
      <c r="AW167" s="90">
        <f>F167*AO167</f>
        <v>0</v>
      </c>
      <c r="AX167" s="90">
        <f>F167*AP167</f>
        <v>0</v>
      </c>
      <c r="AY167" s="92" t="s">
        <v>296</v>
      </c>
      <c r="AZ167" s="92" t="s">
        <v>56</v>
      </c>
      <c r="BA167" s="70" t="s">
        <v>57</v>
      </c>
      <c r="BC167" s="90">
        <f>AW167+AX167</f>
        <v>0</v>
      </c>
      <c r="BD167" s="90">
        <f>G167/(100-BE167)*100</f>
        <v>0</v>
      </c>
      <c r="BE167" s="90">
        <v>0</v>
      </c>
      <c r="BF167" s="90">
        <f>178</f>
        <v>178</v>
      </c>
      <c r="BH167" s="90">
        <f>F167*AO167</f>
        <v>0</v>
      </c>
      <c r="BI167" s="90">
        <f>F167*AP167</f>
        <v>0</v>
      </c>
      <c r="BJ167" s="90">
        <f>F167*G167</f>
        <v>0</v>
      </c>
      <c r="BK167" s="90"/>
      <c r="BL167" s="90"/>
      <c r="BW167" s="90">
        <v>21</v>
      </c>
      <c r="BX167" s="93" t="s">
        <v>294</v>
      </c>
    </row>
    <row r="168" spans="1:76" ht="15">
      <c r="A168" s="105">
        <v>64</v>
      </c>
      <c r="B168" s="106" t="s">
        <v>297</v>
      </c>
      <c r="C168" s="107" t="s">
        <v>298</v>
      </c>
      <c r="D168" s="108"/>
      <c r="E168" s="106" t="s">
        <v>295</v>
      </c>
      <c r="F168" s="109">
        <v>1.6</v>
      </c>
      <c r="G168" s="282"/>
      <c r="H168" s="109">
        <f>F168*AO168</f>
        <v>0</v>
      </c>
      <c r="I168" s="109">
        <f>F168*AP168</f>
        <v>0</v>
      </c>
      <c r="J168" s="109">
        <f>F168*G168</f>
        <v>0</v>
      </c>
      <c r="K168" s="110" t="s">
        <v>49</v>
      </c>
      <c r="Z168" s="90">
        <f>IF(AQ168="5",BJ168,0)</f>
        <v>0</v>
      </c>
      <c r="AB168" s="90">
        <f>IF(AQ168="1",BH168,0)</f>
        <v>0</v>
      </c>
      <c r="AC168" s="90">
        <f>IF(AQ168="1",BI168,0)</f>
        <v>0</v>
      </c>
      <c r="AD168" s="90">
        <f>IF(AQ168="7",BH168,0)</f>
        <v>0</v>
      </c>
      <c r="AE168" s="90">
        <f>IF(AQ168="7",BI168,0)</f>
        <v>0</v>
      </c>
      <c r="AF168" s="90">
        <f>IF(AQ168="2",BH168,0)</f>
        <v>0</v>
      </c>
      <c r="AG168" s="90">
        <f>IF(AQ168="2",BI168,0)</f>
        <v>0</v>
      </c>
      <c r="AH168" s="90">
        <f>IF(AQ168="0",BJ168,0)</f>
        <v>0</v>
      </c>
      <c r="AI168" s="70" t="s">
        <v>49</v>
      </c>
      <c r="AJ168" s="90">
        <f>IF(AN168=0,J168,0)</f>
        <v>0</v>
      </c>
      <c r="AK168" s="90">
        <f>IF(AN168=12,J168,0)</f>
        <v>0</v>
      </c>
      <c r="AL168" s="90">
        <f>IF(AN168=21,J168,0)</f>
        <v>0</v>
      </c>
      <c r="AN168" s="90">
        <v>21</v>
      </c>
      <c r="AO168" s="90">
        <f>G168*0</f>
        <v>0</v>
      </c>
      <c r="AP168" s="90">
        <f>G168*(1-0)</f>
        <v>0</v>
      </c>
      <c r="AQ168" s="92" t="s">
        <v>52</v>
      </c>
      <c r="AV168" s="90">
        <f>AW168+AX168</f>
        <v>0</v>
      </c>
      <c r="AW168" s="90">
        <f>F168*AO168</f>
        <v>0</v>
      </c>
      <c r="AX168" s="90">
        <f>F168*AP168</f>
        <v>0</v>
      </c>
      <c r="AY168" s="92" t="s">
        <v>296</v>
      </c>
      <c r="AZ168" s="92" t="s">
        <v>56</v>
      </c>
      <c r="BA168" s="70" t="s">
        <v>57</v>
      </c>
      <c r="BC168" s="90">
        <f>AW168+AX168</f>
        <v>0</v>
      </c>
      <c r="BD168" s="90">
        <f>G168/(100-BE168)*100</f>
        <v>0</v>
      </c>
      <c r="BE168" s="90">
        <v>0</v>
      </c>
      <c r="BF168" s="90">
        <f>179</f>
        <v>179</v>
      </c>
      <c r="BH168" s="90">
        <f>F168*AO168</f>
        <v>0</v>
      </c>
      <c r="BI168" s="90">
        <f>F168*AP168</f>
        <v>0</v>
      </c>
      <c r="BJ168" s="90">
        <f>F168*G168</f>
        <v>0</v>
      </c>
      <c r="BK168" s="90"/>
      <c r="BL168" s="90"/>
      <c r="BW168" s="90">
        <v>21</v>
      </c>
      <c r="BX168" s="93" t="s">
        <v>298</v>
      </c>
    </row>
    <row r="169" spans="8:10" ht="15">
      <c r="H169" s="111" t="s">
        <v>299</v>
      </c>
      <c r="I169" s="111"/>
      <c r="J169" s="112">
        <f>J8+J13+J86+J114+J121+J125+J131+J145+J150+J153+J166</f>
        <v>0</v>
      </c>
    </row>
  </sheetData>
  <sheetProtection algorithmName="SHA-512" hashValue="6M8/IS+yNRH3AE6sDVLqqmuwqmUJRXAcmu5GKWS/AKE8yk3NpAu7JEYYwC7Bs23VD7GjpWkG1we4v08knPhSng==" saltValue="PIB3kzNNEH+ns9QGx41Qzg==" spinCount="100000" sheet="1"/>
  <mergeCells count="96">
    <mergeCell ref="A1:K1"/>
    <mergeCell ref="A2:B2"/>
    <mergeCell ref="A3:B3"/>
    <mergeCell ref="A4:B4"/>
    <mergeCell ref="A5:B5"/>
    <mergeCell ref="E2:F2"/>
    <mergeCell ref="E3:F3"/>
    <mergeCell ref="E4:F4"/>
    <mergeCell ref="E5:F5"/>
    <mergeCell ref="C2:D2"/>
    <mergeCell ref="C3:D3"/>
    <mergeCell ref="C4:D4"/>
    <mergeCell ref="I2:K2"/>
    <mergeCell ref="I3:K3"/>
    <mergeCell ref="I4:K4"/>
    <mergeCell ref="I5:K5"/>
    <mergeCell ref="C6:D6"/>
    <mergeCell ref="C5:D5"/>
    <mergeCell ref="C13:D13"/>
    <mergeCell ref="C14:D14"/>
    <mergeCell ref="C18:D18"/>
    <mergeCell ref="C25:D25"/>
    <mergeCell ref="C27:D27"/>
    <mergeCell ref="C7:D7"/>
    <mergeCell ref="H6:J6"/>
    <mergeCell ref="C8:D8"/>
    <mergeCell ref="C9:D9"/>
    <mergeCell ref="C11:D11"/>
    <mergeCell ref="C41:D41"/>
    <mergeCell ref="C43:D43"/>
    <mergeCell ref="C45:D45"/>
    <mergeCell ref="C47:D47"/>
    <mergeCell ref="C49:D49"/>
    <mergeCell ref="C31:D31"/>
    <mergeCell ref="C33:D33"/>
    <mergeCell ref="C35:D35"/>
    <mergeCell ref="C37:D37"/>
    <mergeCell ref="C39:D39"/>
    <mergeCell ref="C62:D62"/>
    <mergeCell ref="C64:D64"/>
    <mergeCell ref="C66:D66"/>
    <mergeCell ref="C68:D68"/>
    <mergeCell ref="C70:D70"/>
    <mergeCell ref="C52:D52"/>
    <mergeCell ref="C54:D54"/>
    <mergeCell ref="C56:D56"/>
    <mergeCell ref="C58:D58"/>
    <mergeCell ref="C60:D60"/>
    <mergeCell ref="C82:D82"/>
    <mergeCell ref="C84:D84"/>
    <mergeCell ref="C86:D86"/>
    <mergeCell ref="C87:D87"/>
    <mergeCell ref="C89:D89"/>
    <mergeCell ref="C72:D72"/>
    <mergeCell ref="C74:D74"/>
    <mergeCell ref="C76:D76"/>
    <mergeCell ref="C78:D78"/>
    <mergeCell ref="C80:D80"/>
    <mergeCell ref="C104:D104"/>
    <mergeCell ref="C107:D107"/>
    <mergeCell ref="C110:D110"/>
    <mergeCell ref="C112:D112"/>
    <mergeCell ref="C114:D114"/>
    <mergeCell ref="C92:D92"/>
    <mergeCell ref="C94:D94"/>
    <mergeCell ref="C97:D97"/>
    <mergeCell ref="C99:D99"/>
    <mergeCell ref="C102:D102"/>
    <mergeCell ref="C126:D126"/>
    <mergeCell ref="C128:D128"/>
    <mergeCell ref="C131:D131"/>
    <mergeCell ref="C115:D115"/>
    <mergeCell ref="C119:D119"/>
    <mergeCell ref="C121:D121"/>
    <mergeCell ref="C122:D122"/>
    <mergeCell ref="C125:D125"/>
    <mergeCell ref="C145:D145"/>
    <mergeCell ref="C146:D146"/>
    <mergeCell ref="C150:D150"/>
    <mergeCell ref="C151:D151"/>
    <mergeCell ref="C153:D153"/>
    <mergeCell ref="C132:D132"/>
    <mergeCell ref="C134:D134"/>
    <mergeCell ref="C136:D136"/>
    <mergeCell ref="C138:D138"/>
    <mergeCell ref="C143:D143"/>
    <mergeCell ref="H169:I169"/>
    <mergeCell ref="C164:D164"/>
    <mergeCell ref="C166:D166"/>
    <mergeCell ref="C167:D167"/>
    <mergeCell ref="C168:D168"/>
    <mergeCell ref="C154:D154"/>
    <mergeCell ref="C156:D156"/>
    <mergeCell ref="C158:D158"/>
    <mergeCell ref="C160:D160"/>
    <mergeCell ref="C162:D162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7C1E-2020-4207-A386-A897EA6B663D}">
  <sheetPr>
    <pageSetUpPr fitToPage="1"/>
  </sheetPr>
  <dimension ref="A1:I32"/>
  <sheetViews>
    <sheetView zoomScale="90" zoomScaleNormal="90" workbookViewId="0" topLeftCell="A1">
      <selection activeCell="A1" sqref="A1:I1"/>
    </sheetView>
  </sheetViews>
  <sheetFormatPr defaultColWidth="12.140625" defaultRowHeight="15" customHeight="1"/>
  <cols>
    <col min="1" max="1" width="9.140625" style="165" customWidth="1"/>
    <col min="2" max="2" width="12.8515625" style="165" customWidth="1"/>
    <col min="3" max="3" width="27.140625" style="165" customWidth="1"/>
    <col min="4" max="4" width="10.00390625" style="165" customWidth="1"/>
    <col min="5" max="5" width="14.00390625" style="165" customWidth="1"/>
    <col min="6" max="6" width="27.140625" style="165" customWidth="1"/>
    <col min="7" max="7" width="9.140625" style="165" customWidth="1"/>
    <col min="8" max="8" width="12.8515625" style="165" customWidth="1"/>
    <col min="9" max="9" width="27.140625" style="165" customWidth="1"/>
    <col min="10" max="16384" width="12.140625" style="165" customWidth="1"/>
  </cols>
  <sheetData>
    <row r="1" spans="1:9" ht="54.75" customHeight="1">
      <c r="A1" s="163" t="s">
        <v>301</v>
      </c>
      <c r="B1" s="164"/>
      <c r="C1" s="164"/>
      <c r="D1" s="164"/>
      <c r="E1" s="164"/>
      <c r="F1" s="164"/>
      <c r="G1" s="164"/>
      <c r="H1" s="164"/>
      <c r="I1" s="164"/>
    </row>
    <row r="2" spans="1:9" ht="35.1" customHeight="1">
      <c r="A2" s="166" t="s">
        <v>1</v>
      </c>
      <c r="B2" s="167"/>
      <c r="C2" s="168" t="str">
        <f>'Stavební rozpočet SO02'!C2</f>
        <v>B2101 ZŠ JANOV - Stavební úpravy střech pavilonu A a B</v>
      </c>
      <c r="D2" s="169"/>
      <c r="E2" s="302" t="s">
        <v>4</v>
      </c>
      <c r="F2" s="170" t="str">
        <f>'Stavební rozpočet SO02'!I2</f>
        <v>Město Litvínov</v>
      </c>
      <c r="G2" s="167"/>
      <c r="H2" s="302" t="s">
        <v>302</v>
      </c>
      <c r="I2" s="303" t="s">
        <v>49</v>
      </c>
    </row>
    <row r="3" spans="1:9" ht="35.1" customHeight="1">
      <c r="A3" s="172" t="s">
        <v>6</v>
      </c>
      <c r="B3" s="304"/>
      <c r="C3" s="305" t="str">
        <f>'Stavební rozpočet SO02'!C3</f>
        <v>SO 02 - PAVILON B, pozemek p.č. 344/1 k.ú. Janov u Litvínova</v>
      </c>
      <c r="D3" s="304"/>
      <c r="E3" s="306" t="s">
        <v>9</v>
      </c>
      <c r="F3" s="305" t="str">
        <f>'Stavební rozpočet SO02'!I3</f>
        <v>SDP LITVÍNOV, spol. s r.o.</v>
      </c>
      <c r="G3" s="304"/>
      <c r="H3" s="306" t="s">
        <v>302</v>
      </c>
      <c r="I3" s="301" t="s">
        <v>49</v>
      </c>
    </row>
    <row r="4" spans="1:9" ht="35.1" customHeight="1">
      <c r="A4" s="172" t="s">
        <v>11</v>
      </c>
      <c r="B4" s="304"/>
      <c r="C4" s="305" t="str">
        <f>'Stavební rozpočet SO02'!C4</f>
        <v>pozemek  p.č. 344/1, v k.ú. Janov u Litvínova</v>
      </c>
      <c r="D4" s="304"/>
      <c r="E4" s="306" t="s">
        <v>14</v>
      </c>
      <c r="F4" s="305">
        <f>'Stavební rozpočet SO02'!I4</f>
        <v>0</v>
      </c>
      <c r="G4" s="304"/>
      <c r="H4" s="306" t="s">
        <v>302</v>
      </c>
      <c r="I4" s="301" t="s">
        <v>49</v>
      </c>
    </row>
    <row r="5" spans="1:9" ht="35.1" customHeight="1">
      <c r="A5" s="172" t="s">
        <v>8</v>
      </c>
      <c r="B5" s="304"/>
      <c r="C5" s="305" t="str">
        <f>'Stavební rozpočet SO02'!G3</f>
        <v xml:space="preserve"> </v>
      </c>
      <c r="D5" s="304"/>
      <c r="E5" s="306" t="s">
        <v>13</v>
      </c>
      <c r="F5" s="305" t="str">
        <f>'Stavební rozpočet SO02'!G4</f>
        <v xml:space="preserve"> </v>
      </c>
      <c r="G5" s="304"/>
      <c r="H5" s="307" t="s">
        <v>303</v>
      </c>
      <c r="I5" s="300">
        <v>68</v>
      </c>
    </row>
    <row r="6" spans="1:9" ht="35.1" customHeight="1">
      <c r="A6" s="308" t="s">
        <v>15</v>
      </c>
      <c r="B6" s="174"/>
      <c r="C6" s="217" t="str">
        <f>'Stavební rozpočet SO02'!C5</f>
        <v xml:space="preserve"> </v>
      </c>
      <c r="D6" s="174"/>
      <c r="E6" s="218" t="s">
        <v>18</v>
      </c>
      <c r="F6" s="217" t="str">
        <f>'Stavební rozpočet SO02'!I5</f>
        <v>Kamila Možná</v>
      </c>
      <c r="G6" s="174"/>
      <c r="H6" s="216" t="s">
        <v>304</v>
      </c>
      <c r="I6" s="309" t="str">
        <f>'Stavební rozpočet SO02'!G5</f>
        <v>09.04.2024</v>
      </c>
    </row>
    <row r="7" spans="1:9" ht="23.25">
      <c r="A7" s="175" t="s">
        <v>305</v>
      </c>
      <c r="B7" s="175"/>
      <c r="C7" s="175"/>
      <c r="D7" s="175"/>
      <c r="E7" s="175"/>
      <c r="F7" s="175"/>
      <c r="G7" s="175"/>
      <c r="H7" s="175"/>
      <c r="I7" s="175"/>
    </row>
    <row r="8" spans="1:9" ht="26.25" customHeight="1">
      <c r="A8" s="176" t="s">
        <v>306</v>
      </c>
      <c r="B8" s="177" t="s">
        <v>307</v>
      </c>
      <c r="C8" s="178"/>
      <c r="D8" s="179" t="s">
        <v>308</v>
      </c>
      <c r="E8" s="177" t="s">
        <v>309</v>
      </c>
      <c r="F8" s="178"/>
      <c r="G8" s="179" t="s">
        <v>310</v>
      </c>
      <c r="H8" s="177" t="s">
        <v>311</v>
      </c>
      <c r="I8" s="178"/>
    </row>
    <row r="9" spans="1:9" ht="15.75">
      <c r="A9" s="180" t="s">
        <v>312</v>
      </c>
      <c r="B9" s="181" t="s">
        <v>313</v>
      </c>
      <c r="C9" s="182">
        <f>SUM('Stavební rozpočet SO02'!AB8:AB174)</f>
        <v>0</v>
      </c>
      <c r="D9" s="183" t="s">
        <v>314</v>
      </c>
      <c r="E9" s="184"/>
      <c r="F9" s="182">
        <f>VORN!I15</f>
        <v>0</v>
      </c>
      <c r="G9" s="183" t="s">
        <v>294</v>
      </c>
      <c r="H9" s="184"/>
      <c r="I9" s="182">
        <f>VORN!I21</f>
        <v>0</v>
      </c>
    </row>
    <row r="10" spans="1:9" ht="15.75">
      <c r="A10" s="186" t="s">
        <v>49</v>
      </c>
      <c r="B10" s="181" t="s">
        <v>34</v>
      </c>
      <c r="C10" s="182">
        <f>SUM('Stavební rozpočet SO02'!AC8:AC174)</f>
        <v>0</v>
      </c>
      <c r="D10" s="183" t="s">
        <v>315</v>
      </c>
      <c r="E10" s="184"/>
      <c r="F10" s="182">
        <f>VORN!I16</f>
        <v>0</v>
      </c>
      <c r="G10" s="183" t="s">
        <v>316</v>
      </c>
      <c r="H10" s="184"/>
      <c r="I10" s="182">
        <f>VORN!I22</f>
        <v>0</v>
      </c>
    </row>
    <row r="11" spans="1:9" ht="15.75">
      <c r="A11" s="180" t="s">
        <v>317</v>
      </c>
      <c r="B11" s="181" t="s">
        <v>313</v>
      </c>
      <c r="C11" s="182">
        <f>SUM('Stavební rozpočet SO02'!AD8:AD174)</f>
        <v>0</v>
      </c>
      <c r="D11" s="183" t="s">
        <v>318</v>
      </c>
      <c r="E11" s="184"/>
      <c r="F11" s="182">
        <f>VORN!I17</f>
        <v>0</v>
      </c>
      <c r="G11" s="183" t="s">
        <v>319</v>
      </c>
      <c r="H11" s="184"/>
      <c r="I11" s="182">
        <f>VORN!I23</f>
        <v>0</v>
      </c>
    </row>
    <row r="12" spans="1:9" ht="15.75">
      <c r="A12" s="186" t="s">
        <v>49</v>
      </c>
      <c r="B12" s="181" t="s">
        <v>34</v>
      </c>
      <c r="C12" s="182">
        <f>SUM('Stavební rozpočet SO02'!AE8:AE174)</f>
        <v>0</v>
      </c>
      <c r="D12" s="183" t="s">
        <v>49</v>
      </c>
      <c r="E12" s="184"/>
      <c r="F12" s="185" t="s">
        <v>49</v>
      </c>
      <c r="G12" s="183" t="s">
        <v>298</v>
      </c>
      <c r="H12" s="184"/>
      <c r="I12" s="182">
        <f>VORN!I24</f>
        <v>0</v>
      </c>
    </row>
    <row r="13" spans="1:9" ht="15.75">
      <c r="A13" s="180" t="s">
        <v>320</v>
      </c>
      <c r="B13" s="181" t="s">
        <v>313</v>
      </c>
      <c r="C13" s="182">
        <f>SUM('Stavební rozpočet SO02'!AF8:AF174)</f>
        <v>0</v>
      </c>
      <c r="D13" s="183" t="s">
        <v>49</v>
      </c>
      <c r="E13" s="184"/>
      <c r="F13" s="185" t="s">
        <v>49</v>
      </c>
      <c r="G13" s="183" t="s">
        <v>321</v>
      </c>
      <c r="H13" s="184"/>
      <c r="I13" s="182">
        <f>VORN!I25</f>
        <v>0</v>
      </c>
    </row>
    <row r="14" spans="1:9" ht="15.75">
      <c r="A14" s="186" t="s">
        <v>49</v>
      </c>
      <c r="B14" s="181" t="s">
        <v>34</v>
      </c>
      <c r="C14" s="182">
        <f>SUM('Stavební rozpočet SO02'!AG8:AG174)</f>
        <v>0</v>
      </c>
      <c r="D14" s="183" t="s">
        <v>49</v>
      </c>
      <c r="E14" s="184"/>
      <c r="F14" s="185" t="s">
        <v>49</v>
      </c>
      <c r="G14" s="183" t="s">
        <v>322</v>
      </c>
      <c r="H14" s="184"/>
      <c r="I14" s="182">
        <f>VORN!I26</f>
        <v>0</v>
      </c>
    </row>
    <row r="15" spans="1:9" ht="15.75">
      <c r="A15" s="187" t="s">
        <v>323</v>
      </c>
      <c r="B15" s="188"/>
      <c r="C15" s="182">
        <f>SUM('Stavební rozpočet SO02'!AH8:AH174)</f>
        <v>0</v>
      </c>
      <c r="D15" s="183" t="s">
        <v>49</v>
      </c>
      <c r="E15" s="184"/>
      <c r="F15" s="185" t="s">
        <v>49</v>
      </c>
      <c r="G15" s="183" t="s">
        <v>49</v>
      </c>
      <c r="H15" s="184"/>
      <c r="I15" s="185" t="s">
        <v>49</v>
      </c>
    </row>
    <row r="16" spans="1:9" ht="15.75">
      <c r="A16" s="189" t="s">
        <v>324</v>
      </c>
      <c r="B16" s="190"/>
      <c r="C16" s="191">
        <f>SUM('Stavební rozpočet SO02'!Z8:Z174)</f>
        <v>0</v>
      </c>
      <c r="D16" s="192" t="s">
        <v>49</v>
      </c>
      <c r="E16" s="193"/>
      <c r="F16" s="194" t="s">
        <v>49</v>
      </c>
      <c r="G16" s="192" t="s">
        <v>49</v>
      </c>
      <c r="H16" s="193"/>
      <c r="I16" s="194" t="s">
        <v>49</v>
      </c>
    </row>
    <row r="17" spans="1:9" ht="16.5" customHeight="1">
      <c r="A17" s="195" t="s">
        <v>325</v>
      </c>
      <c r="B17" s="196"/>
      <c r="C17" s="197">
        <f>SUM(C9:C16)</f>
        <v>0</v>
      </c>
      <c r="D17" s="198" t="s">
        <v>326</v>
      </c>
      <c r="E17" s="196"/>
      <c r="F17" s="197">
        <f>SUM(F9:F16)</f>
        <v>0</v>
      </c>
      <c r="G17" s="198" t="s">
        <v>327</v>
      </c>
      <c r="H17" s="196"/>
      <c r="I17" s="197">
        <f>SUM(I9:I16)</f>
        <v>0</v>
      </c>
    </row>
    <row r="18" spans="4:9" ht="16.5" thickBot="1">
      <c r="D18" s="187" t="s">
        <v>328</v>
      </c>
      <c r="E18" s="188"/>
      <c r="F18" s="199">
        <v>0</v>
      </c>
      <c r="G18" s="200" t="s">
        <v>329</v>
      </c>
      <c r="H18" s="188"/>
      <c r="I18" s="182">
        <v>0</v>
      </c>
    </row>
    <row r="19" spans="7:9" ht="15.75">
      <c r="G19" s="187" t="s">
        <v>330</v>
      </c>
      <c r="H19" s="188"/>
      <c r="I19" s="191">
        <f>vorn_sum</f>
        <v>0</v>
      </c>
    </row>
    <row r="20" spans="7:9" ht="15.75">
      <c r="G20" s="187" t="s">
        <v>331</v>
      </c>
      <c r="H20" s="188"/>
      <c r="I20" s="197">
        <v>0</v>
      </c>
    </row>
    <row r="22" spans="1:3" ht="15.75">
      <c r="A22" s="201" t="s">
        <v>332</v>
      </c>
      <c r="B22" s="202"/>
      <c r="C22" s="203">
        <f>SUM('Stavební rozpočet SO02'!AJ8:AJ174)</f>
        <v>0</v>
      </c>
    </row>
    <row r="23" spans="1:9" ht="15.75">
      <c r="A23" s="204" t="s">
        <v>333</v>
      </c>
      <c r="B23" s="205"/>
      <c r="C23" s="206">
        <f>SUM('Stavební rozpočet SO02'!AK8:AK174)</f>
        <v>0</v>
      </c>
      <c r="D23" s="202" t="s">
        <v>334</v>
      </c>
      <c r="E23" s="202"/>
      <c r="F23" s="203">
        <f>ROUND(C23*(12/100),2)</f>
        <v>0</v>
      </c>
      <c r="G23" s="202" t="s">
        <v>335</v>
      </c>
      <c r="H23" s="202"/>
      <c r="I23" s="203">
        <f>SUM(C22:C24)</f>
        <v>0</v>
      </c>
    </row>
    <row r="24" spans="1:9" ht="15.75">
      <c r="A24" s="204" t="s">
        <v>336</v>
      </c>
      <c r="B24" s="205"/>
      <c r="C24" s="206">
        <f>SUM('Stavební rozpočet SO02'!AL8:AL174)+(F17+I17+F18+I18+I19+I20)</f>
        <v>0</v>
      </c>
      <c r="D24" s="205" t="s">
        <v>337</v>
      </c>
      <c r="E24" s="205"/>
      <c r="F24" s="206">
        <f>ROUND(C24*(21/100),2)</f>
        <v>0</v>
      </c>
      <c r="G24" s="205" t="s">
        <v>338</v>
      </c>
      <c r="H24" s="205"/>
      <c r="I24" s="206">
        <f>SUM(F23:F24)+I23</f>
        <v>0</v>
      </c>
    </row>
    <row r="26" spans="1:9" ht="15">
      <c r="A26" s="207" t="s">
        <v>339</v>
      </c>
      <c r="B26" s="208"/>
      <c r="C26" s="209"/>
      <c r="D26" s="208" t="s">
        <v>340</v>
      </c>
      <c r="E26" s="208"/>
      <c r="F26" s="209"/>
      <c r="G26" s="208" t="s">
        <v>341</v>
      </c>
      <c r="H26" s="208"/>
      <c r="I26" s="209"/>
    </row>
    <row r="27" spans="1:9" ht="15">
      <c r="A27" s="210" t="s">
        <v>49</v>
      </c>
      <c r="B27" s="192"/>
      <c r="C27" s="211"/>
      <c r="D27" s="192" t="s">
        <v>49</v>
      </c>
      <c r="E27" s="192"/>
      <c r="F27" s="211"/>
      <c r="G27" s="192" t="s">
        <v>49</v>
      </c>
      <c r="H27" s="192"/>
      <c r="I27" s="211"/>
    </row>
    <row r="28" spans="1:9" ht="15">
      <c r="A28" s="210" t="s">
        <v>49</v>
      </c>
      <c r="B28" s="192"/>
      <c r="C28" s="211"/>
      <c r="D28" s="192" t="s">
        <v>49</v>
      </c>
      <c r="E28" s="192"/>
      <c r="F28" s="211"/>
      <c r="G28" s="192" t="s">
        <v>49</v>
      </c>
      <c r="H28" s="192"/>
      <c r="I28" s="211"/>
    </row>
    <row r="29" spans="1:9" ht="15">
      <c r="A29" s="210" t="s">
        <v>49</v>
      </c>
      <c r="B29" s="192"/>
      <c r="C29" s="211"/>
      <c r="D29" s="192" t="s">
        <v>49</v>
      </c>
      <c r="E29" s="192"/>
      <c r="F29" s="211"/>
      <c r="G29" s="192" t="s">
        <v>49</v>
      </c>
      <c r="H29" s="192"/>
      <c r="I29" s="211"/>
    </row>
    <row r="30" spans="1:9" ht="15.75" thickBot="1">
      <c r="A30" s="212" t="s">
        <v>342</v>
      </c>
      <c r="B30" s="213"/>
      <c r="C30" s="214"/>
      <c r="D30" s="213" t="s">
        <v>342</v>
      </c>
      <c r="E30" s="213"/>
      <c r="F30" s="214"/>
      <c r="G30" s="213" t="s">
        <v>342</v>
      </c>
      <c r="H30" s="213"/>
      <c r="I30" s="214"/>
    </row>
    <row r="31" ht="15">
      <c r="A31" s="215" t="s">
        <v>300</v>
      </c>
    </row>
    <row r="32" spans="1:9" ht="12.75" customHeight="1">
      <c r="A32" s="173" t="s">
        <v>49</v>
      </c>
      <c r="B32" s="171"/>
      <c r="C32" s="171"/>
      <c r="D32" s="171"/>
      <c r="E32" s="171"/>
      <c r="F32" s="171"/>
      <c r="G32" s="171"/>
      <c r="H32" s="171"/>
      <c r="I32" s="171"/>
    </row>
  </sheetData>
  <sheetProtection algorithmName="SHA-512" hashValue="k17SZo6p6qzhXIEHa5lNwZ7j3lGlNzmJbB2BZpH90LVRcup5N4iHYzXR06DK11oijjyJau1LijbFVPZ2nZOseA==" saltValue="gbeVG9qNWiZ6H4LfE2IUjA==" spinCount="100000" sheet="1"/>
  <mergeCells count="68">
    <mergeCell ref="A32:I32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4:B24"/>
    <mergeCell ref="D24:E24"/>
    <mergeCell ref="G24:H24"/>
    <mergeCell ref="A26:C26"/>
    <mergeCell ref="D26:F26"/>
    <mergeCell ref="G26:I26"/>
    <mergeCell ref="D18:E18"/>
    <mergeCell ref="G18:H18"/>
    <mergeCell ref="G19:H19"/>
    <mergeCell ref="G20:H20"/>
    <mergeCell ref="A22:B22"/>
    <mergeCell ref="A23:B23"/>
    <mergeCell ref="D23:E23"/>
    <mergeCell ref="G23:H23"/>
    <mergeCell ref="A16:B16"/>
    <mergeCell ref="D16:E16"/>
    <mergeCell ref="G16:H16"/>
    <mergeCell ref="A17:B17"/>
    <mergeCell ref="D17:E17"/>
    <mergeCell ref="G17:H17"/>
    <mergeCell ref="D13:E13"/>
    <mergeCell ref="G13:H13"/>
    <mergeCell ref="D14:E14"/>
    <mergeCell ref="G14:H14"/>
    <mergeCell ref="A15:B15"/>
    <mergeCell ref="D15:E15"/>
    <mergeCell ref="G15:H15"/>
    <mergeCell ref="D10:E10"/>
    <mergeCell ref="G10:H10"/>
    <mergeCell ref="D11:E11"/>
    <mergeCell ref="G11:H11"/>
    <mergeCell ref="D12:E12"/>
    <mergeCell ref="G12:H12"/>
    <mergeCell ref="A7:I7"/>
    <mergeCell ref="B8:C8"/>
    <mergeCell ref="E8:F8"/>
    <mergeCell ref="H8:I8"/>
    <mergeCell ref="D9:E9"/>
    <mergeCell ref="G9:H9"/>
    <mergeCell ref="A6:B6"/>
    <mergeCell ref="C6:D6"/>
    <mergeCell ref="F6:G6"/>
    <mergeCell ref="A5:B5"/>
    <mergeCell ref="C5:D5"/>
    <mergeCell ref="F5:G5"/>
    <mergeCell ref="A4:B4"/>
    <mergeCell ref="C4:D4"/>
    <mergeCell ref="F4:G4"/>
    <mergeCell ref="A3:B3"/>
    <mergeCell ref="C3:D3"/>
    <mergeCell ref="F3:G3"/>
    <mergeCell ref="A1:I1"/>
    <mergeCell ref="A2:B2"/>
    <mergeCell ref="C2:D2"/>
    <mergeCell ref="F2:G2"/>
  </mergeCells>
  <printOptions/>
  <pageMargins left="0.393999993801117" right="0.393999993801117" top="0.591000020503998" bottom="0.591000020503998" header="0" footer="0"/>
  <pageSetup fitToHeight="1" fitToWidth="1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C1F-B4C1-4BE2-B549-C8D1E577A87E}">
  <sheetPr>
    <pageSetUpPr fitToPage="1"/>
  </sheetPr>
  <dimension ref="A1:BX167"/>
  <sheetViews>
    <sheetView workbookViewId="0" topLeftCell="A1">
      <pane ySplit="7" topLeftCell="A8" activePane="bottomLeft" state="frozen"/>
      <selection pane="bottomLeft" activeCell="A1" sqref="A1:K1"/>
    </sheetView>
  </sheetViews>
  <sheetFormatPr defaultColWidth="12.140625" defaultRowHeight="15" customHeight="1"/>
  <cols>
    <col min="1" max="1" width="4.00390625" style="220" customWidth="1"/>
    <col min="2" max="2" width="17.8515625" style="220" customWidth="1"/>
    <col min="3" max="3" width="42.8515625" style="220" customWidth="1"/>
    <col min="4" max="4" width="24.8515625" style="220" customWidth="1"/>
    <col min="5" max="5" width="5.8515625" style="220" customWidth="1"/>
    <col min="6" max="6" width="12.8515625" style="220" customWidth="1"/>
    <col min="7" max="7" width="12.00390625" style="220" customWidth="1"/>
    <col min="8" max="10" width="15.7109375" style="220" customWidth="1"/>
    <col min="11" max="11" width="13.421875" style="220" customWidth="1"/>
    <col min="12" max="75" width="12.140625" style="220" customWidth="1"/>
    <col min="76" max="76" width="67.7109375" style="220" hidden="1" customWidth="1"/>
    <col min="77" max="16384" width="12.140625" style="220" customWidth="1"/>
  </cols>
  <sheetData>
    <row r="1" spans="1:47" ht="54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AS1" s="221">
        <f>SUM(AJ1:AJ2)</f>
        <v>0</v>
      </c>
      <c r="AT1" s="221">
        <f>SUM(AK1:AK2)</f>
        <v>0</v>
      </c>
      <c r="AU1" s="221">
        <f>SUM(AL1:AL2)</f>
        <v>0</v>
      </c>
    </row>
    <row r="2" spans="1:11" ht="35.1" customHeight="1">
      <c r="A2" s="222" t="s">
        <v>1</v>
      </c>
      <c r="B2" s="223"/>
      <c r="C2" s="224" t="s">
        <v>453</v>
      </c>
      <c r="D2" s="225"/>
      <c r="E2" s="223" t="s">
        <v>2</v>
      </c>
      <c r="F2" s="223"/>
      <c r="G2" s="310" t="s">
        <v>3</v>
      </c>
      <c r="H2" s="311" t="s">
        <v>4</v>
      </c>
      <c r="I2" s="226" t="s">
        <v>5</v>
      </c>
      <c r="J2" s="223"/>
      <c r="K2" s="227"/>
    </row>
    <row r="3" spans="1:11" ht="35.1" customHeight="1">
      <c r="A3" s="231" t="s">
        <v>6</v>
      </c>
      <c r="B3" s="228"/>
      <c r="C3" s="232" t="s">
        <v>354</v>
      </c>
      <c r="D3" s="228"/>
      <c r="E3" s="228" t="s">
        <v>8</v>
      </c>
      <c r="F3" s="228"/>
      <c r="G3" s="259" t="s">
        <v>3</v>
      </c>
      <c r="H3" s="263" t="s">
        <v>9</v>
      </c>
      <c r="I3" s="232" t="s">
        <v>10</v>
      </c>
      <c r="J3" s="228"/>
      <c r="K3" s="230"/>
    </row>
    <row r="4" spans="1:11" ht="35.1" customHeight="1">
      <c r="A4" s="231" t="s">
        <v>11</v>
      </c>
      <c r="B4" s="228"/>
      <c r="C4" s="232" t="s">
        <v>12</v>
      </c>
      <c r="D4" s="228"/>
      <c r="E4" s="228" t="s">
        <v>13</v>
      </c>
      <c r="F4" s="228"/>
      <c r="G4" s="259" t="s">
        <v>3</v>
      </c>
      <c r="H4" s="263" t="s">
        <v>14</v>
      </c>
      <c r="I4" s="279"/>
      <c r="J4" s="279"/>
      <c r="K4" s="280"/>
    </row>
    <row r="5" spans="1:11" ht="35.1" customHeight="1" thickBot="1">
      <c r="A5" s="231" t="s">
        <v>15</v>
      </c>
      <c r="B5" s="228"/>
      <c r="C5" s="232" t="s">
        <v>3</v>
      </c>
      <c r="D5" s="228"/>
      <c r="E5" s="228" t="s">
        <v>16</v>
      </c>
      <c r="F5" s="228"/>
      <c r="G5" s="259" t="s">
        <v>17</v>
      </c>
      <c r="H5" s="263" t="s">
        <v>18</v>
      </c>
      <c r="I5" s="232" t="s">
        <v>19</v>
      </c>
      <c r="J5" s="228"/>
      <c r="K5" s="230"/>
    </row>
    <row r="6" spans="1:75" ht="15">
      <c r="A6" s="233" t="s">
        <v>20</v>
      </c>
      <c r="B6" s="234" t="s">
        <v>21</v>
      </c>
      <c r="C6" s="235" t="s">
        <v>22</v>
      </c>
      <c r="D6" s="236"/>
      <c r="E6" s="234" t="s">
        <v>23</v>
      </c>
      <c r="F6" s="237" t="s">
        <v>24</v>
      </c>
      <c r="G6" s="238" t="s">
        <v>25</v>
      </c>
      <c r="H6" s="239" t="s">
        <v>26</v>
      </c>
      <c r="I6" s="240"/>
      <c r="J6" s="241"/>
      <c r="K6" s="237" t="s">
        <v>27</v>
      </c>
      <c r="BK6" s="242" t="s">
        <v>28</v>
      </c>
      <c r="BL6" s="243" t="s">
        <v>29</v>
      </c>
      <c r="BW6" s="243" t="s">
        <v>30</v>
      </c>
    </row>
    <row r="7" spans="1:62" ht="15.75" thickBot="1">
      <c r="A7" s="244" t="s">
        <v>3</v>
      </c>
      <c r="B7" s="245" t="s">
        <v>3</v>
      </c>
      <c r="C7" s="246" t="s">
        <v>31</v>
      </c>
      <c r="D7" s="247"/>
      <c r="E7" s="245" t="s">
        <v>3</v>
      </c>
      <c r="F7" s="245" t="s">
        <v>3</v>
      </c>
      <c r="G7" s="248" t="s">
        <v>32</v>
      </c>
      <c r="H7" s="249" t="s">
        <v>33</v>
      </c>
      <c r="I7" s="250" t="s">
        <v>34</v>
      </c>
      <c r="J7" s="251" t="s">
        <v>35</v>
      </c>
      <c r="K7" s="250" t="s">
        <v>36</v>
      </c>
      <c r="Z7" s="242" t="s">
        <v>37</v>
      </c>
      <c r="AA7" s="242" t="s">
        <v>38</v>
      </c>
      <c r="AB7" s="242" t="s">
        <v>39</v>
      </c>
      <c r="AC7" s="242" t="s">
        <v>40</v>
      </c>
      <c r="AD7" s="242" t="s">
        <v>41</v>
      </c>
      <c r="AE7" s="242" t="s">
        <v>42</v>
      </c>
      <c r="AF7" s="242" t="s">
        <v>43</v>
      </c>
      <c r="AG7" s="242" t="s">
        <v>44</v>
      </c>
      <c r="AH7" s="242" t="s">
        <v>45</v>
      </c>
      <c r="BH7" s="242" t="s">
        <v>46</v>
      </c>
      <c r="BI7" s="242" t="s">
        <v>47</v>
      </c>
      <c r="BJ7" s="242" t="s">
        <v>48</v>
      </c>
    </row>
    <row r="8" spans="1:47" ht="15">
      <c r="A8" s="252" t="s">
        <v>49</v>
      </c>
      <c r="B8" s="253" t="s">
        <v>50</v>
      </c>
      <c r="C8" s="254" t="s">
        <v>51</v>
      </c>
      <c r="D8" s="255"/>
      <c r="E8" s="256" t="s">
        <v>3</v>
      </c>
      <c r="F8" s="256" t="s">
        <v>3</v>
      </c>
      <c r="G8" s="256" t="s">
        <v>3</v>
      </c>
      <c r="H8" s="221">
        <f>SUM(H9:H13)</f>
        <v>0</v>
      </c>
      <c r="I8" s="221">
        <f>SUM(I9:I13)</f>
        <v>0</v>
      </c>
      <c r="J8" s="221">
        <f>SUM(J9:J13)</f>
        <v>0</v>
      </c>
      <c r="K8" s="257" t="s">
        <v>49</v>
      </c>
      <c r="AI8" s="242" t="s">
        <v>49</v>
      </c>
      <c r="AS8" s="221">
        <f>SUM(AJ9:AJ13)</f>
        <v>0</v>
      </c>
      <c r="AT8" s="221">
        <f>SUM(AK9:AK13)</f>
        <v>0</v>
      </c>
      <c r="AU8" s="221">
        <f>SUM(AL9:AL13)</f>
        <v>0</v>
      </c>
    </row>
    <row r="9" spans="1:76" ht="25.5">
      <c r="A9" s="258" t="s">
        <v>52</v>
      </c>
      <c r="B9" s="259" t="s">
        <v>53</v>
      </c>
      <c r="C9" s="232" t="s">
        <v>54</v>
      </c>
      <c r="D9" s="228"/>
      <c r="E9" s="259" t="s">
        <v>55</v>
      </c>
      <c r="F9" s="260">
        <v>1</v>
      </c>
      <c r="G9" s="277"/>
      <c r="H9" s="260">
        <f>F9*AO9</f>
        <v>0</v>
      </c>
      <c r="I9" s="260">
        <f>F9*AP9</f>
        <v>0</v>
      </c>
      <c r="J9" s="260">
        <f>F9*G9</f>
        <v>0</v>
      </c>
      <c r="K9" s="261" t="s">
        <v>49</v>
      </c>
      <c r="Z9" s="260">
        <f>IF(AQ9="5",BJ9,0)</f>
        <v>0</v>
      </c>
      <c r="AB9" s="260">
        <f>IF(AQ9="1",BH9,0)</f>
        <v>0</v>
      </c>
      <c r="AC9" s="260">
        <f>IF(AQ9="1",BI9,0)</f>
        <v>0</v>
      </c>
      <c r="AD9" s="260">
        <f>IF(AQ9="7",BH9,0)</f>
        <v>0</v>
      </c>
      <c r="AE9" s="260">
        <f>IF(AQ9="7",BI9,0)</f>
        <v>0</v>
      </c>
      <c r="AF9" s="260">
        <f>IF(AQ9="2",BH9,0)</f>
        <v>0</v>
      </c>
      <c r="AG9" s="260">
        <f>IF(AQ9="2",BI9,0)</f>
        <v>0</v>
      </c>
      <c r="AH9" s="260">
        <f>IF(AQ9="0",BJ9,0)</f>
        <v>0</v>
      </c>
      <c r="AI9" s="242" t="s">
        <v>49</v>
      </c>
      <c r="AJ9" s="260">
        <f>IF(AN9=0,J9,0)</f>
        <v>0</v>
      </c>
      <c r="AK9" s="260">
        <f>IF(AN9=12,J9,0)</f>
        <v>0</v>
      </c>
      <c r="AL9" s="260">
        <f>IF(AN9=21,J9,0)</f>
        <v>0</v>
      </c>
      <c r="AN9" s="260">
        <v>21</v>
      </c>
      <c r="AO9" s="260">
        <f>G9*0.75</f>
        <v>0</v>
      </c>
      <c r="AP9" s="260">
        <f>G9*(1-0.75)</f>
        <v>0</v>
      </c>
      <c r="AQ9" s="262" t="s">
        <v>52</v>
      </c>
      <c r="AV9" s="260">
        <f>AW9+AX9</f>
        <v>0</v>
      </c>
      <c r="AW9" s="260">
        <f>F9*AO9</f>
        <v>0</v>
      </c>
      <c r="AX9" s="260">
        <f>F9*AP9</f>
        <v>0</v>
      </c>
      <c r="AY9" s="262" t="s">
        <v>56</v>
      </c>
      <c r="AZ9" s="262" t="s">
        <v>56</v>
      </c>
      <c r="BA9" s="242" t="s">
        <v>57</v>
      </c>
      <c r="BC9" s="260">
        <f>AW9+AX9</f>
        <v>0</v>
      </c>
      <c r="BD9" s="260">
        <f>G9/(100-BE9)*100</f>
        <v>0</v>
      </c>
      <c r="BE9" s="260">
        <v>0</v>
      </c>
      <c r="BF9" s="260">
        <f>13</f>
        <v>13</v>
      </c>
      <c r="BH9" s="260">
        <f>F9*AO9</f>
        <v>0</v>
      </c>
      <c r="BI9" s="260">
        <f>F9*AP9</f>
        <v>0</v>
      </c>
      <c r="BJ9" s="260">
        <f>F9*G9</f>
        <v>0</v>
      </c>
      <c r="BK9" s="260"/>
      <c r="BL9" s="260">
        <v>0</v>
      </c>
      <c r="BW9" s="260">
        <v>21</v>
      </c>
      <c r="BX9" s="263" t="s">
        <v>54</v>
      </c>
    </row>
    <row r="10" spans="1:11" ht="15">
      <c r="A10" s="264"/>
      <c r="C10" s="265" t="s">
        <v>58</v>
      </c>
      <c r="D10" s="265" t="s">
        <v>49</v>
      </c>
      <c r="F10" s="266">
        <v>1</v>
      </c>
      <c r="K10" s="267"/>
    </row>
    <row r="11" spans="1:76" ht="15">
      <c r="A11" s="258" t="s">
        <v>59</v>
      </c>
      <c r="B11" s="259" t="s">
        <v>60</v>
      </c>
      <c r="C11" s="232" t="s">
        <v>61</v>
      </c>
      <c r="D11" s="228"/>
      <c r="E11" s="259" t="s">
        <v>55</v>
      </c>
      <c r="F11" s="260">
        <v>1</v>
      </c>
      <c r="G11" s="277"/>
      <c r="H11" s="260">
        <f>F11*AO11</f>
        <v>0</v>
      </c>
      <c r="I11" s="260">
        <f>F11*AP11</f>
        <v>0</v>
      </c>
      <c r="J11" s="260">
        <f>F11*G11</f>
        <v>0</v>
      </c>
      <c r="K11" s="261" t="s">
        <v>49</v>
      </c>
      <c r="Z11" s="260">
        <f>IF(AQ11="5",BJ11,0)</f>
        <v>0</v>
      </c>
      <c r="AB11" s="260">
        <f>IF(AQ11="1",BH11,0)</f>
        <v>0</v>
      </c>
      <c r="AC11" s="260">
        <f>IF(AQ11="1",BI11,0)</f>
        <v>0</v>
      </c>
      <c r="AD11" s="260">
        <f>IF(AQ11="7",BH11,0)</f>
        <v>0</v>
      </c>
      <c r="AE11" s="260">
        <f>IF(AQ11="7",BI11,0)</f>
        <v>0</v>
      </c>
      <c r="AF11" s="260">
        <f>IF(AQ11="2",BH11,0)</f>
        <v>0</v>
      </c>
      <c r="AG11" s="260">
        <f>IF(AQ11="2",BI11,0)</f>
        <v>0</v>
      </c>
      <c r="AH11" s="260">
        <f>IF(AQ11="0",BJ11,0)</f>
        <v>0</v>
      </c>
      <c r="AI11" s="242" t="s">
        <v>49</v>
      </c>
      <c r="AJ11" s="260">
        <f>IF(AN11=0,J11,0)</f>
        <v>0</v>
      </c>
      <c r="AK11" s="260">
        <f>IF(AN11=12,J11,0)</f>
        <v>0</v>
      </c>
      <c r="AL11" s="260">
        <f>IF(AN11=21,J11,0)</f>
        <v>0</v>
      </c>
      <c r="AN11" s="260">
        <v>21</v>
      </c>
      <c r="AO11" s="260">
        <f>G11*0.818181818</f>
        <v>0</v>
      </c>
      <c r="AP11" s="260">
        <f>G11*(1-0.818181818)</f>
        <v>0</v>
      </c>
      <c r="AQ11" s="262" t="s">
        <v>52</v>
      </c>
      <c r="AV11" s="260">
        <f>AW11+AX11</f>
        <v>0</v>
      </c>
      <c r="AW11" s="260">
        <f>F11*AO11</f>
        <v>0</v>
      </c>
      <c r="AX11" s="260">
        <f>F11*AP11</f>
        <v>0</v>
      </c>
      <c r="AY11" s="262" t="s">
        <v>56</v>
      </c>
      <c r="AZ11" s="262" t="s">
        <v>56</v>
      </c>
      <c r="BA11" s="242" t="s">
        <v>57</v>
      </c>
      <c r="BC11" s="260">
        <f>AW11+AX11</f>
        <v>0</v>
      </c>
      <c r="BD11" s="260">
        <f>G11/(100-BE11)*100</f>
        <v>0</v>
      </c>
      <c r="BE11" s="260">
        <v>0</v>
      </c>
      <c r="BF11" s="260">
        <f>15</f>
        <v>15</v>
      </c>
      <c r="BH11" s="260">
        <f>F11*AO11</f>
        <v>0</v>
      </c>
      <c r="BI11" s="260">
        <f>F11*AP11</f>
        <v>0</v>
      </c>
      <c r="BJ11" s="260">
        <f>F11*G11</f>
        <v>0</v>
      </c>
      <c r="BK11" s="260"/>
      <c r="BL11" s="260">
        <v>0</v>
      </c>
      <c r="BW11" s="260">
        <v>21</v>
      </c>
      <c r="BX11" s="263" t="s">
        <v>61</v>
      </c>
    </row>
    <row r="12" spans="1:11" ht="15">
      <c r="A12" s="264"/>
      <c r="C12" s="265" t="s">
        <v>62</v>
      </c>
      <c r="D12" s="265" t="s">
        <v>49</v>
      </c>
      <c r="F12" s="266">
        <v>1</v>
      </c>
      <c r="K12" s="267"/>
    </row>
    <row r="13" spans="1:76" ht="15">
      <c r="A13" s="258" t="s">
        <v>65</v>
      </c>
      <c r="B13" s="259" t="s">
        <v>355</v>
      </c>
      <c r="C13" s="232" t="s">
        <v>356</v>
      </c>
      <c r="D13" s="228"/>
      <c r="E13" s="259" t="s">
        <v>68</v>
      </c>
      <c r="F13" s="260">
        <v>1</v>
      </c>
      <c r="G13" s="277"/>
      <c r="H13" s="260">
        <f>F13*AO13</f>
        <v>0</v>
      </c>
      <c r="I13" s="260">
        <f>F13*AP13</f>
        <v>0</v>
      </c>
      <c r="J13" s="260">
        <f>F13*G13</f>
        <v>0</v>
      </c>
      <c r="K13" s="261" t="s">
        <v>49</v>
      </c>
      <c r="Z13" s="260">
        <f>IF(AQ13="5",BJ13,0)</f>
        <v>0</v>
      </c>
      <c r="AB13" s="260">
        <f>IF(AQ13="1",BH13,0)</f>
        <v>0</v>
      </c>
      <c r="AC13" s="260">
        <f>IF(AQ13="1",BI13,0)</f>
        <v>0</v>
      </c>
      <c r="AD13" s="260">
        <f>IF(AQ13="7",BH13,0)</f>
        <v>0</v>
      </c>
      <c r="AE13" s="260">
        <f>IF(AQ13="7",BI13,0)</f>
        <v>0</v>
      </c>
      <c r="AF13" s="260">
        <f>IF(AQ13="2",BH13,0)</f>
        <v>0</v>
      </c>
      <c r="AG13" s="260">
        <f>IF(AQ13="2",BI13,0)</f>
        <v>0</v>
      </c>
      <c r="AH13" s="260">
        <f>IF(AQ13="0",BJ13,0)</f>
        <v>0</v>
      </c>
      <c r="AI13" s="242" t="s">
        <v>49</v>
      </c>
      <c r="AJ13" s="260">
        <f>IF(AN13=0,J13,0)</f>
        <v>0</v>
      </c>
      <c r="AK13" s="260">
        <f>IF(AN13=12,J13,0)</f>
        <v>0</v>
      </c>
      <c r="AL13" s="260">
        <f>IF(AN13=21,J13,0)</f>
        <v>0</v>
      </c>
      <c r="AN13" s="260">
        <v>21</v>
      </c>
      <c r="AO13" s="260">
        <f>G13*0.25</f>
        <v>0</v>
      </c>
      <c r="AP13" s="260">
        <f>G13*(1-0.25)</f>
        <v>0</v>
      </c>
      <c r="AQ13" s="262" t="s">
        <v>52</v>
      </c>
      <c r="AV13" s="260">
        <f>AW13+AX13</f>
        <v>0</v>
      </c>
      <c r="AW13" s="260">
        <f>F13*AO13</f>
        <v>0</v>
      </c>
      <c r="AX13" s="260">
        <f>F13*AP13</f>
        <v>0</v>
      </c>
      <c r="AY13" s="262" t="s">
        <v>56</v>
      </c>
      <c r="AZ13" s="262" t="s">
        <v>56</v>
      </c>
      <c r="BA13" s="242" t="s">
        <v>57</v>
      </c>
      <c r="BC13" s="260">
        <f>AW13+AX13</f>
        <v>0</v>
      </c>
      <c r="BD13" s="260">
        <f>G13/(100-BE13)*100</f>
        <v>0</v>
      </c>
      <c r="BE13" s="260">
        <v>0</v>
      </c>
      <c r="BF13" s="260">
        <f>17</f>
        <v>17</v>
      </c>
      <c r="BH13" s="260">
        <f>F13*AO13</f>
        <v>0</v>
      </c>
      <c r="BI13" s="260">
        <f>F13*AP13</f>
        <v>0</v>
      </c>
      <c r="BJ13" s="260">
        <f>F13*G13</f>
        <v>0</v>
      </c>
      <c r="BK13" s="260"/>
      <c r="BL13" s="260">
        <v>0</v>
      </c>
      <c r="BW13" s="260">
        <v>21</v>
      </c>
      <c r="BX13" s="263" t="s">
        <v>356</v>
      </c>
    </row>
    <row r="14" spans="1:11" ht="15">
      <c r="A14" s="264"/>
      <c r="C14" s="265" t="s">
        <v>357</v>
      </c>
      <c r="D14" s="265" t="s">
        <v>49</v>
      </c>
      <c r="F14" s="266">
        <v>1</v>
      </c>
      <c r="K14" s="267"/>
    </row>
    <row r="15" spans="1:47" ht="15">
      <c r="A15" s="252" t="s">
        <v>49</v>
      </c>
      <c r="B15" s="253" t="s">
        <v>63</v>
      </c>
      <c r="C15" s="254" t="s">
        <v>64</v>
      </c>
      <c r="D15" s="255"/>
      <c r="E15" s="256" t="s">
        <v>3</v>
      </c>
      <c r="F15" s="256" t="s">
        <v>3</v>
      </c>
      <c r="G15" s="256" t="s">
        <v>3</v>
      </c>
      <c r="H15" s="221">
        <f>SUM(H16:H68)</f>
        <v>0</v>
      </c>
      <c r="I15" s="221">
        <f>SUM(I16:I68)</f>
        <v>0</v>
      </c>
      <c r="J15" s="221">
        <f>SUM(J16:J68)</f>
        <v>0</v>
      </c>
      <c r="K15" s="257" t="s">
        <v>49</v>
      </c>
      <c r="AI15" s="242" t="s">
        <v>49</v>
      </c>
      <c r="AS15" s="221">
        <f>SUM(AJ16:AJ68)</f>
        <v>0</v>
      </c>
      <c r="AT15" s="221">
        <f>SUM(AK16:AK68)</f>
        <v>0</v>
      </c>
      <c r="AU15" s="221">
        <f>SUM(AL16:AL68)</f>
        <v>0</v>
      </c>
    </row>
    <row r="16" spans="1:76" ht="15">
      <c r="A16" s="258" t="s">
        <v>75</v>
      </c>
      <c r="B16" s="259" t="s">
        <v>66</v>
      </c>
      <c r="C16" s="232" t="s">
        <v>67</v>
      </c>
      <c r="D16" s="228"/>
      <c r="E16" s="259" t="s">
        <v>68</v>
      </c>
      <c r="F16" s="260">
        <v>2</v>
      </c>
      <c r="G16" s="277"/>
      <c r="H16" s="260">
        <f>F16*AO16</f>
        <v>0</v>
      </c>
      <c r="I16" s="260">
        <f>F16*AP16</f>
        <v>0</v>
      </c>
      <c r="J16" s="260">
        <f>F16*G16</f>
        <v>0</v>
      </c>
      <c r="K16" s="261" t="s">
        <v>49</v>
      </c>
      <c r="Z16" s="260">
        <f>IF(AQ16="5",BJ16,0)</f>
        <v>0</v>
      </c>
      <c r="AB16" s="260">
        <f>IF(AQ16="1",BH16,0)</f>
        <v>0</v>
      </c>
      <c r="AC16" s="260">
        <f>IF(AQ16="1",BI16,0)</f>
        <v>0</v>
      </c>
      <c r="AD16" s="260">
        <f>IF(AQ16="7",BH16,0)</f>
        <v>0</v>
      </c>
      <c r="AE16" s="260">
        <f>IF(AQ16="7",BI16,0)</f>
        <v>0</v>
      </c>
      <c r="AF16" s="260">
        <f>IF(AQ16="2",BH16,0)</f>
        <v>0</v>
      </c>
      <c r="AG16" s="260">
        <f>IF(AQ16="2",BI16,0)</f>
        <v>0</v>
      </c>
      <c r="AH16" s="260">
        <f>IF(AQ16="0",BJ16,0)</f>
        <v>0</v>
      </c>
      <c r="AI16" s="242" t="s">
        <v>49</v>
      </c>
      <c r="AJ16" s="260">
        <f>IF(AN16=0,J16,0)</f>
        <v>0</v>
      </c>
      <c r="AK16" s="260">
        <f>IF(AN16=12,J16,0)</f>
        <v>0</v>
      </c>
      <c r="AL16" s="260">
        <f>IF(AN16=21,J16,0)</f>
        <v>0</v>
      </c>
      <c r="AN16" s="260">
        <v>21</v>
      </c>
      <c r="AO16" s="260">
        <f>G16*0.714285714</f>
        <v>0</v>
      </c>
      <c r="AP16" s="260">
        <f>G16*(1-0.714285714)</f>
        <v>0</v>
      </c>
      <c r="AQ16" s="262" t="s">
        <v>69</v>
      </c>
      <c r="AV16" s="260">
        <f>AW16+AX16</f>
        <v>0</v>
      </c>
      <c r="AW16" s="260">
        <f>F16*AO16</f>
        <v>0</v>
      </c>
      <c r="AX16" s="260">
        <f>F16*AP16</f>
        <v>0</v>
      </c>
      <c r="AY16" s="262" t="s">
        <v>70</v>
      </c>
      <c r="AZ16" s="262" t="s">
        <v>71</v>
      </c>
      <c r="BA16" s="242" t="s">
        <v>57</v>
      </c>
      <c r="BC16" s="260">
        <f>AW16+AX16</f>
        <v>0</v>
      </c>
      <c r="BD16" s="260">
        <f>G16/(100-BE16)*100</f>
        <v>0</v>
      </c>
      <c r="BE16" s="260">
        <v>0</v>
      </c>
      <c r="BF16" s="260">
        <f>20</f>
        <v>20</v>
      </c>
      <c r="BH16" s="260">
        <f>F16*AO16</f>
        <v>0</v>
      </c>
      <c r="BI16" s="260">
        <f>F16*AP16</f>
        <v>0</v>
      </c>
      <c r="BJ16" s="260">
        <f>F16*G16</f>
        <v>0</v>
      </c>
      <c r="BK16" s="260"/>
      <c r="BL16" s="260">
        <v>712</v>
      </c>
      <c r="BW16" s="260">
        <v>21</v>
      </c>
      <c r="BX16" s="263" t="s">
        <v>67</v>
      </c>
    </row>
    <row r="17" spans="1:11" ht="15">
      <c r="A17" s="264"/>
      <c r="C17" s="265" t="s">
        <v>358</v>
      </c>
      <c r="D17" s="265" t="s">
        <v>49</v>
      </c>
      <c r="F17" s="266">
        <v>2</v>
      </c>
      <c r="K17" s="267"/>
    </row>
    <row r="18" spans="1:76" ht="15">
      <c r="A18" s="258" t="s">
        <v>86</v>
      </c>
      <c r="B18" s="259" t="s">
        <v>76</v>
      </c>
      <c r="C18" s="232" t="s">
        <v>92</v>
      </c>
      <c r="D18" s="228"/>
      <c r="E18" s="259" t="s">
        <v>78</v>
      </c>
      <c r="F18" s="260">
        <v>32.34</v>
      </c>
      <c r="G18" s="277"/>
      <c r="H18" s="260">
        <f>F18*AO18</f>
        <v>0</v>
      </c>
      <c r="I18" s="260">
        <f>F18*AP18</f>
        <v>0</v>
      </c>
      <c r="J18" s="260">
        <f>F18*G18</f>
        <v>0</v>
      </c>
      <c r="K18" s="261" t="s">
        <v>79</v>
      </c>
      <c r="Z18" s="260">
        <f>IF(AQ18="5",BJ18,0)</f>
        <v>0</v>
      </c>
      <c r="AB18" s="260">
        <f>IF(AQ18="1",BH18,0)</f>
        <v>0</v>
      </c>
      <c r="AC18" s="260">
        <f>IF(AQ18="1",BI18,0)</f>
        <v>0</v>
      </c>
      <c r="AD18" s="260">
        <f>IF(AQ18="7",BH18,0)</f>
        <v>0</v>
      </c>
      <c r="AE18" s="260">
        <f>IF(AQ18="7",BI18,0)</f>
        <v>0</v>
      </c>
      <c r="AF18" s="260">
        <f>IF(AQ18="2",BH18,0)</f>
        <v>0</v>
      </c>
      <c r="AG18" s="260">
        <f>IF(AQ18="2",BI18,0)</f>
        <v>0</v>
      </c>
      <c r="AH18" s="260">
        <f>IF(AQ18="0",BJ18,0)</f>
        <v>0</v>
      </c>
      <c r="AI18" s="242" t="s">
        <v>49</v>
      </c>
      <c r="AJ18" s="260">
        <f>IF(AN18=0,J18,0)</f>
        <v>0</v>
      </c>
      <c r="AK18" s="260">
        <f>IF(AN18=12,J18,0)</f>
        <v>0</v>
      </c>
      <c r="AL18" s="260">
        <f>IF(AN18=21,J18,0)</f>
        <v>0</v>
      </c>
      <c r="AN18" s="260">
        <v>21</v>
      </c>
      <c r="AO18" s="260">
        <f>G18*0</f>
        <v>0</v>
      </c>
      <c r="AP18" s="260">
        <f>G18*(1-0)</f>
        <v>0</v>
      </c>
      <c r="AQ18" s="262" t="s">
        <v>69</v>
      </c>
      <c r="AV18" s="260">
        <f>AW18+AX18</f>
        <v>0</v>
      </c>
      <c r="AW18" s="260">
        <f>F18*AO18</f>
        <v>0</v>
      </c>
      <c r="AX18" s="260">
        <f>F18*AP18</f>
        <v>0</v>
      </c>
      <c r="AY18" s="262" t="s">
        <v>70</v>
      </c>
      <c r="AZ18" s="262" t="s">
        <v>71</v>
      </c>
      <c r="BA18" s="242" t="s">
        <v>57</v>
      </c>
      <c r="BC18" s="260">
        <f>AW18+AX18</f>
        <v>0</v>
      </c>
      <c r="BD18" s="260">
        <f>G18/(100-BE18)*100</f>
        <v>0</v>
      </c>
      <c r="BE18" s="260">
        <v>0</v>
      </c>
      <c r="BF18" s="260">
        <f>22</f>
        <v>22</v>
      </c>
      <c r="BH18" s="260">
        <f>F18*AO18</f>
        <v>0</v>
      </c>
      <c r="BI18" s="260">
        <f>F18*AP18</f>
        <v>0</v>
      </c>
      <c r="BJ18" s="260">
        <f>F18*G18</f>
        <v>0</v>
      </c>
      <c r="BK18" s="260"/>
      <c r="BL18" s="260">
        <v>712</v>
      </c>
      <c r="BW18" s="260">
        <v>21</v>
      </c>
      <c r="BX18" s="263" t="s">
        <v>92</v>
      </c>
    </row>
    <row r="19" spans="1:11" ht="15">
      <c r="A19" s="264"/>
      <c r="C19" s="265" t="s">
        <v>359</v>
      </c>
      <c r="D19" s="265" t="s">
        <v>49</v>
      </c>
      <c r="F19" s="266">
        <v>32.34</v>
      </c>
      <c r="K19" s="267"/>
    </row>
    <row r="20" spans="1:76" ht="15">
      <c r="A20" s="258" t="s">
        <v>91</v>
      </c>
      <c r="B20" s="259" t="s">
        <v>96</v>
      </c>
      <c r="C20" s="232" t="s">
        <v>97</v>
      </c>
      <c r="D20" s="228"/>
      <c r="E20" s="259" t="s">
        <v>89</v>
      </c>
      <c r="F20" s="260">
        <v>18.5955</v>
      </c>
      <c r="G20" s="277"/>
      <c r="H20" s="260">
        <f>F20*AO20</f>
        <v>0</v>
      </c>
      <c r="I20" s="260">
        <f>F20*AP20</f>
        <v>0</v>
      </c>
      <c r="J20" s="260">
        <f>F20*G20</f>
        <v>0</v>
      </c>
      <c r="K20" s="261" t="s">
        <v>79</v>
      </c>
      <c r="Z20" s="260">
        <f>IF(AQ20="5",BJ20,0)</f>
        <v>0</v>
      </c>
      <c r="AB20" s="260">
        <f>IF(AQ20="1",BH20,0)</f>
        <v>0</v>
      </c>
      <c r="AC20" s="260">
        <f>IF(AQ20="1",BI20,0)</f>
        <v>0</v>
      </c>
      <c r="AD20" s="260">
        <f>IF(AQ20="7",BH20,0)</f>
        <v>0</v>
      </c>
      <c r="AE20" s="260">
        <f>IF(AQ20="7",BI20,0)</f>
        <v>0</v>
      </c>
      <c r="AF20" s="260">
        <f>IF(AQ20="2",BH20,0)</f>
        <v>0</v>
      </c>
      <c r="AG20" s="260">
        <f>IF(AQ20="2",BI20,0)</f>
        <v>0</v>
      </c>
      <c r="AH20" s="260">
        <f>IF(AQ20="0",BJ20,0)</f>
        <v>0</v>
      </c>
      <c r="AI20" s="242" t="s">
        <v>49</v>
      </c>
      <c r="AJ20" s="260">
        <f>IF(AN20=0,J20,0)</f>
        <v>0</v>
      </c>
      <c r="AK20" s="260">
        <f>IF(AN20=12,J20,0)</f>
        <v>0</v>
      </c>
      <c r="AL20" s="260">
        <f>IF(AN20=21,J20,0)</f>
        <v>0</v>
      </c>
      <c r="AN20" s="260">
        <v>21</v>
      </c>
      <c r="AO20" s="260">
        <f>G20*1</f>
        <v>0</v>
      </c>
      <c r="AP20" s="260">
        <f>G20*(1-1)</f>
        <v>0</v>
      </c>
      <c r="AQ20" s="262" t="s">
        <v>69</v>
      </c>
      <c r="AV20" s="260">
        <f>AW20+AX20</f>
        <v>0</v>
      </c>
      <c r="AW20" s="260">
        <f>F20*AO20</f>
        <v>0</v>
      </c>
      <c r="AX20" s="260">
        <f>F20*AP20</f>
        <v>0</v>
      </c>
      <c r="AY20" s="262" t="s">
        <v>70</v>
      </c>
      <c r="AZ20" s="262" t="s">
        <v>71</v>
      </c>
      <c r="BA20" s="242" t="s">
        <v>57</v>
      </c>
      <c r="BC20" s="260">
        <f>AW20+AX20</f>
        <v>0</v>
      </c>
      <c r="BD20" s="260">
        <f>G20/(100-BE20)*100</f>
        <v>0</v>
      </c>
      <c r="BE20" s="260">
        <v>0</v>
      </c>
      <c r="BF20" s="260">
        <f>24</f>
        <v>24</v>
      </c>
      <c r="BH20" s="260">
        <f>F20*AO20</f>
        <v>0</v>
      </c>
      <c r="BI20" s="260">
        <f>F20*AP20</f>
        <v>0</v>
      </c>
      <c r="BJ20" s="260">
        <f>F20*G20</f>
        <v>0</v>
      </c>
      <c r="BK20" s="260"/>
      <c r="BL20" s="260">
        <v>712</v>
      </c>
      <c r="BW20" s="260">
        <v>21</v>
      </c>
      <c r="BX20" s="263" t="s">
        <v>97</v>
      </c>
    </row>
    <row r="21" spans="1:11" ht="15">
      <c r="A21" s="264"/>
      <c r="C21" s="265" t="s">
        <v>360</v>
      </c>
      <c r="D21" s="265" t="s">
        <v>49</v>
      </c>
      <c r="F21" s="266">
        <v>18.5955</v>
      </c>
      <c r="K21" s="267"/>
    </row>
    <row r="22" spans="1:76" ht="15">
      <c r="A22" s="258" t="s">
        <v>69</v>
      </c>
      <c r="B22" s="259" t="s">
        <v>100</v>
      </c>
      <c r="C22" s="232" t="s">
        <v>101</v>
      </c>
      <c r="D22" s="228"/>
      <c r="E22" s="259" t="s">
        <v>78</v>
      </c>
      <c r="F22" s="260">
        <v>32.34</v>
      </c>
      <c r="G22" s="277"/>
      <c r="H22" s="260">
        <f>F22*AO22</f>
        <v>0</v>
      </c>
      <c r="I22" s="260">
        <f>F22*AP22</f>
        <v>0</v>
      </c>
      <c r="J22" s="260">
        <f>F22*G22</f>
        <v>0</v>
      </c>
      <c r="K22" s="261" t="s">
        <v>79</v>
      </c>
      <c r="Z22" s="260">
        <f>IF(AQ22="5",BJ22,0)</f>
        <v>0</v>
      </c>
      <c r="AB22" s="260">
        <f>IF(AQ22="1",BH22,0)</f>
        <v>0</v>
      </c>
      <c r="AC22" s="260">
        <f>IF(AQ22="1",BI22,0)</f>
        <v>0</v>
      </c>
      <c r="AD22" s="260">
        <f>IF(AQ22="7",BH22,0)</f>
        <v>0</v>
      </c>
      <c r="AE22" s="260">
        <f>IF(AQ22="7",BI22,0)</f>
        <v>0</v>
      </c>
      <c r="AF22" s="260">
        <f>IF(AQ22="2",BH22,0)</f>
        <v>0</v>
      </c>
      <c r="AG22" s="260">
        <f>IF(AQ22="2",BI22,0)</f>
        <v>0</v>
      </c>
      <c r="AH22" s="260">
        <f>IF(AQ22="0",BJ22,0)</f>
        <v>0</v>
      </c>
      <c r="AI22" s="242" t="s">
        <v>49</v>
      </c>
      <c r="AJ22" s="260">
        <f>IF(AN22=0,J22,0)</f>
        <v>0</v>
      </c>
      <c r="AK22" s="260">
        <f>IF(AN22=12,J22,0)</f>
        <v>0</v>
      </c>
      <c r="AL22" s="260">
        <f>IF(AN22=21,J22,0)</f>
        <v>0</v>
      </c>
      <c r="AN22" s="260">
        <v>21</v>
      </c>
      <c r="AO22" s="260">
        <f>G22*0.105447471</f>
        <v>0</v>
      </c>
      <c r="AP22" s="260">
        <f>G22*(1-0.105447471)</f>
        <v>0</v>
      </c>
      <c r="AQ22" s="262" t="s">
        <v>69</v>
      </c>
      <c r="AV22" s="260">
        <f>AW22+AX22</f>
        <v>0</v>
      </c>
      <c r="AW22" s="260">
        <f>F22*AO22</f>
        <v>0</v>
      </c>
      <c r="AX22" s="260">
        <f>F22*AP22</f>
        <v>0</v>
      </c>
      <c r="AY22" s="262" t="s">
        <v>70</v>
      </c>
      <c r="AZ22" s="262" t="s">
        <v>71</v>
      </c>
      <c r="BA22" s="242" t="s">
        <v>57</v>
      </c>
      <c r="BC22" s="260">
        <f>AW22+AX22</f>
        <v>0</v>
      </c>
      <c r="BD22" s="260">
        <f>G22/(100-BE22)*100</f>
        <v>0</v>
      </c>
      <c r="BE22" s="260">
        <v>0</v>
      </c>
      <c r="BF22" s="260">
        <f>26</f>
        <v>26</v>
      </c>
      <c r="BH22" s="260">
        <f>F22*AO22</f>
        <v>0</v>
      </c>
      <c r="BI22" s="260">
        <f>F22*AP22</f>
        <v>0</v>
      </c>
      <c r="BJ22" s="260">
        <f>F22*G22</f>
        <v>0</v>
      </c>
      <c r="BK22" s="260"/>
      <c r="BL22" s="260">
        <v>712</v>
      </c>
      <c r="BW22" s="260">
        <v>21</v>
      </c>
      <c r="BX22" s="263" t="s">
        <v>101</v>
      </c>
    </row>
    <row r="23" spans="1:11" ht="15">
      <c r="A23" s="264"/>
      <c r="C23" s="265" t="s">
        <v>361</v>
      </c>
      <c r="D23" s="265" t="s">
        <v>49</v>
      </c>
      <c r="F23" s="266">
        <v>32.34</v>
      </c>
      <c r="K23" s="267"/>
    </row>
    <row r="24" spans="1:76" ht="15">
      <c r="A24" s="258" t="s">
        <v>99</v>
      </c>
      <c r="B24" s="259" t="s">
        <v>104</v>
      </c>
      <c r="C24" s="232" t="s">
        <v>105</v>
      </c>
      <c r="D24" s="228"/>
      <c r="E24" s="259" t="s">
        <v>78</v>
      </c>
      <c r="F24" s="260">
        <v>37.191</v>
      </c>
      <c r="G24" s="277"/>
      <c r="H24" s="260">
        <f>F24*AO24</f>
        <v>0</v>
      </c>
      <c r="I24" s="260">
        <f>F24*AP24</f>
        <v>0</v>
      </c>
      <c r="J24" s="260">
        <f>F24*G24</f>
        <v>0</v>
      </c>
      <c r="K24" s="261" t="s">
        <v>79</v>
      </c>
      <c r="Z24" s="260">
        <f>IF(AQ24="5",BJ24,0)</f>
        <v>0</v>
      </c>
      <c r="AB24" s="260">
        <f>IF(AQ24="1",BH24,0)</f>
        <v>0</v>
      </c>
      <c r="AC24" s="260">
        <f>IF(AQ24="1",BI24,0)</f>
        <v>0</v>
      </c>
      <c r="AD24" s="260">
        <f>IF(AQ24="7",BH24,0)</f>
        <v>0</v>
      </c>
      <c r="AE24" s="260">
        <f>IF(AQ24="7",BI24,0)</f>
        <v>0</v>
      </c>
      <c r="AF24" s="260">
        <f>IF(AQ24="2",BH24,0)</f>
        <v>0</v>
      </c>
      <c r="AG24" s="260">
        <f>IF(AQ24="2",BI24,0)</f>
        <v>0</v>
      </c>
      <c r="AH24" s="260">
        <f>IF(AQ24="0",BJ24,0)</f>
        <v>0</v>
      </c>
      <c r="AI24" s="242" t="s">
        <v>49</v>
      </c>
      <c r="AJ24" s="260">
        <f>IF(AN24=0,J24,0)</f>
        <v>0</v>
      </c>
      <c r="AK24" s="260">
        <f>IF(AN24=12,J24,0)</f>
        <v>0</v>
      </c>
      <c r="AL24" s="260">
        <f>IF(AN24=21,J24,0)</f>
        <v>0</v>
      </c>
      <c r="AN24" s="260">
        <v>21</v>
      </c>
      <c r="AO24" s="260">
        <f>G24*1</f>
        <v>0</v>
      </c>
      <c r="AP24" s="260">
        <f>G24*(1-1)</f>
        <v>0</v>
      </c>
      <c r="AQ24" s="262" t="s">
        <v>69</v>
      </c>
      <c r="AV24" s="260">
        <f>AW24+AX24</f>
        <v>0</v>
      </c>
      <c r="AW24" s="260">
        <f>F24*AO24</f>
        <v>0</v>
      </c>
      <c r="AX24" s="260">
        <f>F24*AP24</f>
        <v>0</v>
      </c>
      <c r="AY24" s="262" t="s">
        <v>70</v>
      </c>
      <c r="AZ24" s="262" t="s">
        <v>71</v>
      </c>
      <c r="BA24" s="242" t="s">
        <v>57</v>
      </c>
      <c r="BC24" s="260">
        <f>AW24+AX24</f>
        <v>0</v>
      </c>
      <c r="BD24" s="260">
        <f>G24/(100-BE24)*100</f>
        <v>0</v>
      </c>
      <c r="BE24" s="260">
        <v>0</v>
      </c>
      <c r="BF24" s="260">
        <f>28</f>
        <v>28</v>
      </c>
      <c r="BH24" s="260">
        <f>F24*AO24</f>
        <v>0</v>
      </c>
      <c r="BI24" s="260">
        <f>F24*AP24</f>
        <v>0</v>
      </c>
      <c r="BJ24" s="260">
        <f>F24*G24</f>
        <v>0</v>
      </c>
      <c r="BK24" s="260"/>
      <c r="BL24" s="260">
        <v>712</v>
      </c>
      <c r="BW24" s="260">
        <v>21</v>
      </c>
      <c r="BX24" s="263" t="s">
        <v>105</v>
      </c>
    </row>
    <row r="25" spans="1:11" ht="15">
      <c r="A25" s="264"/>
      <c r="C25" s="265" t="s">
        <v>362</v>
      </c>
      <c r="D25" s="265" t="s">
        <v>49</v>
      </c>
      <c r="F25" s="266">
        <v>37.191</v>
      </c>
      <c r="K25" s="267"/>
    </row>
    <row r="26" spans="1:76" ht="15">
      <c r="A26" s="258" t="s">
        <v>103</v>
      </c>
      <c r="B26" s="259" t="s">
        <v>108</v>
      </c>
      <c r="C26" s="232" t="s">
        <v>109</v>
      </c>
      <c r="D26" s="228"/>
      <c r="E26" s="259" t="s">
        <v>78</v>
      </c>
      <c r="F26" s="260">
        <v>64.68</v>
      </c>
      <c r="G26" s="277"/>
      <c r="H26" s="260">
        <f>F26*AO26</f>
        <v>0</v>
      </c>
      <c r="I26" s="260">
        <f>F26*AP26</f>
        <v>0</v>
      </c>
      <c r="J26" s="260">
        <f>F26*G26</f>
        <v>0</v>
      </c>
      <c r="K26" s="261" t="s">
        <v>79</v>
      </c>
      <c r="Z26" s="260">
        <f>IF(AQ26="5",BJ26,0)</f>
        <v>0</v>
      </c>
      <c r="AB26" s="260">
        <f>IF(AQ26="1",BH26,0)</f>
        <v>0</v>
      </c>
      <c r="AC26" s="260">
        <f>IF(AQ26="1",BI26,0)</f>
        <v>0</v>
      </c>
      <c r="AD26" s="260">
        <f>IF(AQ26="7",BH26,0)</f>
        <v>0</v>
      </c>
      <c r="AE26" s="260">
        <f>IF(AQ26="7",BI26,0)</f>
        <v>0</v>
      </c>
      <c r="AF26" s="260">
        <f>IF(AQ26="2",BH26,0)</f>
        <v>0</v>
      </c>
      <c r="AG26" s="260">
        <f>IF(AQ26="2",BI26,0)</f>
        <v>0</v>
      </c>
      <c r="AH26" s="260">
        <f>IF(AQ26="0",BJ26,0)</f>
        <v>0</v>
      </c>
      <c r="AI26" s="242" t="s">
        <v>49</v>
      </c>
      <c r="AJ26" s="260">
        <f>IF(AN26=0,J26,0)</f>
        <v>0</v>
      </c>
      <c r="AK26" s="260">
        <f>IF(AN26=12,J26,0)</f>
        <v>0</v>
      </c>
      <c r="AL26" s="260">
        <f>IF(AN26=21,J26,0)</f>
        <v>0</v>
      </c>
      <c r="AN26" s="260">
        <v>21</v>
      </c>
      <c r="AO26" s="260">
        <f>G26*0</f>
        <v>0</v>
      </c>
      <c r="AP26" s="260">
        <f>G26*(1-0)</f>
        <v>0</v>
      </c>
      <c r="AQ26" s="262" t="s">
        <v>69</v>
      </c>
      <c r="AV26" s="260">
        <f>AW26+AX26</f>
        <v>0</v>
      </c>
      <c r="AW26" s="260">
        <f>F26*AO26</f>
        <v>0</v>
      </c>
      <c r="AX26" s="260">
        <f>F26*AP26</f>
        <v>0</v>
      </c>
      <c r="AY26" s="262" t="s">
        <v>70</v>
      </c>
      <c r="AZ26" s="262" t="s">
        <v>71</v>
      </c>
      <c r="BA26" s="242" t="s">
        <v>57</v>
      </c>
      <c r="BC26" s="260">
        <f>AW26+AX26</f>
        <v>0</v>
      </c>
      <c r="BD26" s="260">
        <f>G26/(100-BE26)*100</f>
        <v>0</v>
      </c>
      <c r="BE26" s="260">
        <v>0</v>
      </c>
      <c r="BF26" s="260">
        <f>30</f>
        <v>30</v>
      </c>
      <c r="BH26" s="260">
        <f>F26*AO26</f>
        <v>0</v>
      </c>
      <c r="BI26" s="260">
        <f>F26*AP26</f>
        <v>0</v>
      </c>
      <c r="BJ26" s="260">
        <f>F26*G26</f>
        <v>0</v>
      </c>
      <c r="BK26" s="260"/>
      <c r="BL26" s="260">
        <v>712</v>
      </c>
      <c r="BW26" s="260">
        <v>21</v>
      </c>
      <c r="BX26" s="263" t="s">
        <v>109</v>
      </c>
    </row>
    <row r="27" spans="1:11" ht="15">
      <c r="A27" s="264"/>
      <c r="C27" s="265" t="s">
        <v>363</v>
      </c>
      <c r="D27" s="265" t="s">
        <v>49</v>
      </c>
      <c r="F27" s="266">
        <v>64.68</v>
      </c>
      <c r="K27" s="267"/>
    </row>
    <row r="28" spans="1:76" ht="15">
      <c r="A28" s="258" t="s">
        <v>107</v>
      </c>
      <c r="B28" s="259" t="s">
        <v>112</v>
      </c>
      <c r="C28" s="232" t="s">
        <v>113</v>
      </c>
      <c r="D28" s="228"/>
      <c r="E28" s="259" t="s">
        <v>78</v>
      </c>
      <c r="F28" s="260">
        <v>74.382</v>
      </c>
      <c r="G28" s="277"/>
      <c r="H28" s="260">
        <f>F28*AO28</f>
        <v>0</v>
      </c>
      <c r="I28" s="260">
        <f>F28*AP28</f>
        <v>0</v>
      </c>
      <c r="J28" s="260">
        <f>F28*G28</f>
        <v>0</v>
      </c>
      <c r="K28" s="261" t="s">
        <v>79</v>
      </c>
      <c r="Z28" s="260">
        <f>IF(AQ28="5",BJ28,0)</f>
        <v>0</v>
      </c>
      <c r="AB28" s="260">
        <f>IF(AQ28="1",BH28,0)</f>
        <v>0</v>
      </c>
      <c r="AC28" s="260">
        <f>IF(AQ28="1",BI28,0)</f>
        <v>0</v>
      </c>
      <c r="AD28" s="260">
        <f>IF(AQ28="7",BH28,0)</f>
        <v>0</v>
      </c>
      <c r="AE28" s="260">
        <f>IF(AQ28="7",BI28,0)</f>
        <v>0</v>
      </c>
      <c r="AF28" s="260">
        <f>IF(AQ28="2",BH28,0)</f>
        <v>0</v>
      </c>
      <c r="AG28" s="260">
        <f>IF(AQ28="2",BI28,0)</f>
        <v>0</v>
      </c>
      <c r="AH28" s="260">
        <f>IF(AQ28="0",BJ28,0)</f>
        <v>0</v>
      </c>
      <c r="AI28" s="242" t="s">
        <v>49</v>
      </c>
      <c r="AJ28" s="260">
        <f>IF(AN28=0,J28,0)</f>
        <v>0</v>
      </c>
      <c r="AK28" s="260">
        <f>IF(AN28=12,J28,0)</f>
        <v>0</v>
      </c>
      <c r="AL28" s="260">
        <f>IF(AN28=21,J28,0)</f>
        <v>0</v>
      </c>
      <c r="AN28" s="260">
        <v>21</v>
      </c>
      <c r="AO28" s="260">
        <f>G28*1</f>
        <v>0</v>
      </c>
      <c r="AP28" s="260">
        <f>G28*(1-1)</f>
        <v>0</v>
      </c>
      <c r="AQ28" s="262" t="s">
        <v>69</v>
      </c>
      <c r="AV28" s="260">
        <f>AW28+AX28</f>
        <v>0</v>
      </c>
      <c r="AW28" s="260">
        <f>F28*AO28</f>
        <v>0</v>
      </c>
      <c r="AX28" s="260">
        <f>F28*AP28</f>
        <v>0</v>
      </c>
      <c r="AY28" s="262" t="s">
        <v>70</v>
      </c>
      <c r="AZ28" s="262" t="s">
        <v>71</v>
      </c>
      <c r="BA28" s="242" t="s">
        <v>57</v>
      </c>
      <c r="BC28" s="260">
        <f>AW28+AX28</f>
        <v>0</v>
      </c>
      <c r="BD28" s="260">
        <f>G28/(100-BE28)*100</f>
        <v>0</v>
      </c>
      <c r="BE28" s="260">
        <v>0</v>
      </c>
      <c r="BF28" s="260">
        <f>32</f>
        <v>32</v>
      </c>
      <c r="BH28" s="260">
        <f>F28*AO28</f>
        <v>0</v>
      </c>
      <c r="BI28" s="260">
        <f>F28*AP28</f>
        <v>0</v>
      </c>
      <c r="BJ28" s="260">
        <f>F28*G28</f>
        <v>0</v>
      </c>
      <c r="BK28" s="260"/>
      <c r="BL28" s="260">
        <v>712</v>
      </c>
      <c r="BW28" s="260">
        <v>21</v>
      </c>
      <c r="BX28" s="263" t="s">
        <v>113</v>
      </c>
    </row>
    <row r="29" spans="1:11" ht="15">
      <c r="A29" s="264"/>
      <c r="C29" s="265" t="s">
        <v>364</v>
      </c>
      <c r="D29" s="265" t="s">
        <v>49</v>
      </c>
      <c r="F29" s="266">
        <v>74.382</v>
      </c>
      <c r="K29" s="267"/>
    </row>
    <row r="30" spans="1:76" ht="15">
      <c r="A30" s="258" t="s">
        <v>111</v>
      </c>
      <c r="B30" s="259" t="s">
        <v>100</v>
      </c>
      <c r="C30" s="232" t="s">
        <v>101</v>
      </c>
      <c r="D30" s="228"/>
      <c r="E30" s="259" t="s">
        <v>78</v>
      </c>
      <c r="F30" s="260">
        <v>32.34</v>
      </c>
      <c r="G30" s="277"/>
      <c r="H30" s="260">
        <f>F30*AO30</f>
        <v>0</v>
      </c>
      <c r="I30" s="260">
        <f>F30*AP30</f>
        <v>0</v>
      </c>
      <c r="J30" s="260">
        <f>F30*G30</f>
        <v>0</v>
      </c>
      <c r="K30" s="261" t="s">
        <v>79</v>
      </c>
      <c r="Z30" s="260">
        <f>IF(AQ30="5",BJ30,0)</f>
        <v>0</v>
      </c>
      <c r="AB30" s="260">
        <f>IF(AQ30="1",BH30,0)</f>
        <v>0</v>
      </c>
      <c r="AC30" s="260">
        <f>IF(AQ30="1",BI30,0)</f>
        <v>0</v>
      </c>
      <c r="AD30" s="260">
        <f>IF(AQ30="7",BH30,0)</f>
        <v>0</v>
      </c>
      <c r="AE30" s="260">
        <f>IF(AQ30="7",BI30,0)</f>
        <v>0</v>
      </c>
      <c r="AF30" s="260">
        <f>IF(AQ30="2",BH30,0)</f>
        <v>0</v>
      </c>
      <c r="AG30" s="260">
        <f>IF(AQ30="2",BI30,0)</f>
        <v>0</v>
      </c>
      <c r="AH30" s="260">
        <f>IF(AQ30="0",BJ30,0)</f>
        <v>0</v>
      </c>
      <c r="AI30" s="242" t="s">
        <v>49</v>
      </c>
      <c r="AJ30" s="260">
        <f>IF(AN30=0,J30,0)</f>
        <v>0</v>
      </c>
      <c r="AK30" s="260">
        <f>IF(AN30=12,J30,0)</f>
        <v>0</v>
      </c>
      <c r="AL30" s="260">
        <f>IF(AN30=21,J30,0)</f>
        <v>0</v>
      </c>
      <c r="AN30" s="260">
        <v>21</v>
      </c>
      <c r="AO30" s="260">
        <f>G30*0.105447471</f>
        <v>0</v>
      </c>
      <c r="AP30" s="260">
        <f>G30*(1-0.105447471)</f>
        <v>0</v>
      </c>
      <c r="AQ30" s="262" t="s">
        <v>69</v>
      </c>
      <c r="AV30" s="260">
        <f>AW30+AX30</f>
        <v>0</v>
      </c>
      <c r="AW30" s="260">
        <f>F30*AO30</f>
        <v>0</v>
      </c>
      <c r="AX30" s="260">
        <f>F30*AP30</f>
        <v>0</v>
      </c>
      <c r="AY30" s="262" t="s">
        <v>70</v>
      </c>
      <c r="AZ30" s="262" t="s">
        <v>71</v>
      </c>
      <c r="BA30" s="242" t="s">
        <v>57</v>
      </c>
      <c r="BC30" s="260">
        <f>AW30+AX30</f>
        <v>0</v>
      </c>
      <c r="BD30" s="260">
        <f>G30/(100-BE30)*100</f>
        <v>0</v>
      </c>
      <c r="BE30" s="260">
        <v>0</v>
      </c>
      <c r="BF30" s="260">
        <f>34</f>
        <v>34</v>
      </c>
      <c r="BH30" s="260">
        <f>F30*AO30</f>
        <v>0</v>
      </c>
      <c r="BI30" s="260">
        <f>F30*AP30</f>
        <v>0</v>
      </c>
      <c r="BJ30" s="260">
        <f>F30*G30</f>
        <v>0</v>
      </c>
      <c r="BK30" s="260"/>
      <c r="BL30" s="260">
        <v>712</v>
      </c>
      <c r="BW30" s="260">
        <v>21</v>
      </c>
      <c r="BX30" s="263" t="s">
        <v>101</v>
      </c>
    </row>
    <row r="31" spans="1:11" ht="15">
      <c r="A31" s="264"/>
      <c r="C31" s="265" t="s">
        <v>361</v>
      </c>
      <c r="D31" s="265" t="s">
        <v>49</v>
      </c>
      <c r="F31" s="266">
        <v>32.34</v>
      </c>
      <c r="K31" s="267"/>
    </row>
    <row r="32" spans="1:76" ht="15">
      <c r="A32" s="258" t="s">
        <v>115</v>
      </c>
      <c r="B32" s="259" t="s">
        <v>118</v>
      </c>
      <c r="C32" s="232" t="s">
        <v>119</v>
      </c>
      <c r="D32" s="228"/>
      <c r="E32" s="259" t="s">
        <v>78</v>
      </c>
      <c r="F32" s="260">
        <v>37.191</v>
      </c>
      <c r="G32" s="277"/>
      <c r="H32" s="260">
        <f>F32*AO32</f>
        <v>0</v>
      </c>
      <c r="I32" s="260">
        <f>F32*AP32</f>
        <v>0</v>
      </c>
      <c r="J32" s="260">
        <f>F32*G32</f>
        <v>0</v>
      </c>
      <c r="K32" s="261" t="s">
        <v>49</v>
      </c>
      <c r="Z32" s="260">
        <f>IF(AQ32="5",BJ32,0)</f>
        <v>0</v>
      </c>
      <c r="AB32" s="260">
        <f>IF(AQ32="1",BH32,0)</f>
        <v>0</v>
      </c>
      <c r="AC32" s="260">
        <f>IF(AQ32="1",BI32,0)</f>
        <v>0</v>
      </c>
      <c r="AD32" s="260">
        <f>IF(AQ32="7",BH32,0)</f>
        <v>0</v>
      </c>
      <c r="AE32" s="260">
        <f>IF(AQ32="7",BI32,0)</f>
        <v>0</v>
      </c>
      <c r="AF32" s="260">
        <f>IF(AQ32="2",BH32,0)</f>
        <v>0</v>
      </c>
      <c r="AG32" s="260">
        <f>IF(AQ32="2",BI32,0)</f>
        <v>0</v>
      </c>
      <c r="AH32" s="260">
        <f>IF(AQ32="0",BJ32,0)</f>
        <v>0</v>
      </c>
      <c r="AI32" s="242" t="s">
        <v>49</v>
      </c>
      <c r="AJ32" s="260">
        <f>IF(AN32=0,J32,0)</f>
        <v>0</v>
      </c>
      <c r="AK32" s="260">
        <f>IF(AN32=12,J32,0)</f>
        <v>0</v>
      </c>
      <c r="AL32" s="260">
        <f>IF(AN32=21,J32,0)</f>
        <v>0</v>
      </c>
      <c r="AN32" s="260">
        <v>21</v>
      </c>
      <c r="AO32" s="260">
        <f>G32*1</f>
        <v>0</v>
      </c>
      <c r="AP32" s="260">
        <f>G32*(1-1)</f>
        <v>0</v>
      </c>
      <c r="AQ32" s="262" t="s">
        <v>69</v>
      </c>
      <c r="AV32" s="260">
        <f>AW32+AX32</f>
        <v>0</v>
      </c>
      <c r="AW32" s="260">
        <f>F32*AO32</f>
        <v>0</v>
      </c>
      <c r="AX32" s="260">
        <f>F32*AP32</f>
        <v>0</v>
      </c>
      <c r="AY32" s="262" t="s">
        <v>70</v>
      </c>
      <c r="AZ32" s="262" t="s">
        <v>71</v>
      </c>
      <c r="BA32" s="242" t="s">
        <v>57</v>
      </c>
      <c r="BC32" s="260">
        <f>AW32+AX32</f>
        <v>0</v>
      </c>
      <c r="BD32" s="260">
        <f>G32/(100-BE32)*100</f>
        <v>0</v>
      </c>
      <c r="BE32" s="260">
        <v>0</v>
      </c>
      <c r="BF32" s="260">
        <f>36</f>
        <v>36</v>
      </c>
      <c r="BH32" s="260">
        <f>F32*AO32</f>
        <v>0</v>
      </c>
      <c r="BI32" s="260">
        <f>F32*AP32</f>
        <v>0</v>
      </c>
      <c r="BJ32" s="260">
        <f>F32*G32</f>
        <v>0</v>
      </c>
      <c r="BK32" s="260"/>
      <c r="BL32" s="260">
        <v>712</v>
      </c>
      <c r="BW32" s="260">
        <v>21</v>
      </c>
      <c r="BX32" s="263" t="s">
        <v>119</v>
      </c>
    </row>
    <row r="33" spans="1:11" ht="15">
      <c r="A33" s="264"/>
      <c r="C33" s="265" t="s">
        <v>362</v>
      </c>
      <c r="D33" s="265" t="s">
        <v>49</v>
      </c>
      <c r="F33" s="266">
        <v>37.191</v>
      </c>
      <c r="K33" s="267"/>
    </row>
    <row r="34" spans="1:76" ht="15">
      <c r="A34" s="258" t="s">
        <v>117</v>
      </c>
      <c r="B34" s="259" t="s">
        <v>100</v>
      </c>
      <c r="C34" s="232" t="s">
        <v>101</v>
      </c>
      <c r="D34" s="228"/>
      <c r="E34" s="259" t="s">
        <v>78</v>
      </c>
      <c r="F34" s="260">
        <v>32.34</v>
      </c>
      <c r="G34" s="277"/>
      <c r="H34" s="260">
        <f>F34*AO34</f>
        <v>0</v>
      </c>
      <c r="I34" s="260">
        <f>F34*AP34</f>
        <v>0</v>
      </c>
      <c r="J34" s="260">
        <f>F34*G34</f>
        <v>0</v>
      </c>
      <c r="K34" s="261" t="s">
        <v>79</v>
      </c>
      <c r="Z34" s="260">
        <f>IF(AQ34="5",BJ34,0)</f>
        <v>0</v>
      </c>
      <c r="AB34" s="260">
        <f>IF(AQ34="1",BH34,0)</f>
        <v>0</v>
      </c>
      <c r="AC34" s="260">
        <f>IF(AQ34="1",BI34,0)</f>
        <v>0</v>
      </c>
      <c r="AD34" s="260">
        <f>IF(AQ34="7",BH34,0)</f>
        <v>0</v>
      </c>
      <c r="AE34" s="260">
        <f>IF(AQ34="7",BI34,0)</f>
        <v>0</v>
      </c>
      <c r="AF34" s="260">
        <f>IF(AQ34="2",BH34,0)</f>
        <v>0</v>
      </c>
      <c r="AG34" s="260">
        <f>IF(AQ34="2",BI34,0)</f>
        <v>0</v>
      </c>
      <c r="AH34" s="260">
        <f>IF(AQ34="0",BJ34,0)</f>
        <v>0</v>
      </c>
      <c r="AI34" s="242" t="s">
        <v>49</v>
      </c>
      <c r="AJ34" s="260">
        <f>IF(AN34=0,J34,0)</f>
        <v>0</v>
      </c>
      <c r="AK34" s="260">
        <f>IF(AN34=12,J34,0)</f>
        <v>0</v>
      </c>
      <c r="AL34" s="260">
        <f>IF(AN34=21,J34,0)</f>
        <v>0</v>
      </c>
      <c r="AN34" s="260">
        <v>21</v>
      </c>
      <c r="AO34" s="260">
        <f>G34*0.105447471</f>
        <v>0</v>
      </c>
      <c r="AP34" s="260">
        <f>G34*(1-0.105447471)</f>
        <v>0</v>
      </c>
      <c r="AQ34" s="262" t="s">
        <v>69</v>
      </c>
      <c r="AV34" s="260">
        <f>AW34+AX34</f>
        <v>0</v>
      </c>
      <c r="AW34" s="260">
        <f>F34*AO34</f>
        <v>0</v>
      </c>
      <c r="AX34" s="260">
        <f>F34*AP34</f>
        <v>0</v>
      </c>
      <c r="AY34" s="262" t="s">
        <v>70</v>
      </c>
      <c r="AZ34" s="262" t="s">
        <v>71</v>
      </c>
      <c r="BA34" s="242" t="s">
        <v>57</v>
      </c>
      <c r="BC34" s="260">
        <f>AW34+AX34</f>
        <v>0</v>
      </c>
      <c r="BD34" s="260">
        <f>G34/(100-BE34)*100</f>
        <v>0</v>
      </c>
      <c r="BE34" s="260">
        <v>0</v>
      </c>
      <c r="BF34" s="260">
        <f>38</f>
        <v>38</v>
      </c>
      <c r="BH34" s="260">
        <f>F34*AO34</f>
        <v>0</v>
      </c>
      <c r="BI34" s="260">
        <f>F34*AP34</f>
        <v>0</v>
      </c>
      <c r="BJ34" s="260">
        <f>F34*G34</f>
        <v>0</v>
      </c>
      <c r="BK34" s="260"/>
      <c r="BL34" s="260">
        <v>712</v>
      </c>
      <c r="BW34" s="260">
        <v>21</v>
      </c>
      <c r="BX34" s="263" t="s">
        <v>101</v>
      </c>
    </row>
    <row r="35" spans="1:11" ht="15">
      <c r="A35" s="264"/>
      <c r="C35" s="265" t="s">
        <v>361</v>
      </c>
      <c r="D35" s="265" t="s">
        <v>49</v>
      </c>
      <c r="F35" s="266">
        <v>32.34</v>
      </c>
      <c r="K35" s="267"/>
    </row>
    <row r="36" spans="1:76" ht="15">
      <c r="A36" s="258" t="s">
        <v>120</v>
      </c>
      <c r="B36" s="259" t="s">
        <v>122</v>
      </c>
      <c r="C36" s="232" t="s">
        <v>123</v>
      </c>
      <c r="D36" s="228"/>
      <c r="E36" s="259" t="s">
        <v>78</v>
      </c>
      <c r="F36" s="260">
        <v>37.191</v>
      </c>
      <c r="G36" s="277"/>
      <c r="H36" s="260">
        <f>F36*AO36</f>
        <v>0</v>
      </c>
      <c r="I36" s="260">
        <f>F36*AP36</f>
        <v>0</v>
      </c>
      <c r="J36" s="260">
        <f>F36*G36</f>
        <v>0</v>
      </c>
      <c r="K36" s="261" t="s">
        <v>79</v>
      </c>
      <c r="Z36" s="260">
        <f>IF(AQ36="5",BJ36,0)</f>
        <v>0</v>
      </c>
      <c r="AB36" s="260">
        <f>IF(AQ36="1",BH36,0)</f>
        <v>0</v>
      </c>
      <c r="AC36" s="260">
        <f>IF(AQ36="1",BI36,0)</f>
        <v>0</v>
      </c>
      <c r="AD36" s="260">
        <f>IF(AQ36="7",BH36,0)</f>
        <v>0</v>
      </c>
      <c r="AE36" s="260">
        <f>IF(AQ36="7",BI36,0)</f>
        <v>0</v>
      </c>
      <c r="AF36" s="260">
        <f>IF(AQ36="2",BH36,0)</f>
        <v>0</v>
      </c>
      <c r="AG36" s="260">
        <f>IF(AQ36="2",BI36,0)</f>
        <v>0</v>
      </c>
      <c r="AH36" s="260">
        <f>IF(AQ36="0",BJ36,0)</f>
        <v>0</v>
      </c>
      <c r="AI36" s="242" t="s">
        <v>49</v>
      </c>
      <c r="AJ36" s="260">
        <f>IF(AN36=0,J36,0)</f>
        <v>0</v>
      </c>
      <c r="AK36" s="260">
        <f>IF(AN36=12,J36,0)</f>
        <v>0</v>
      </c>
      <c r="AL36" s="260">
        <f>IF(AN36=21,J36,0)</f>
        <v>0</v>
      </c>
      <c r="AN36" s="260">
        <v>21</v>
      </c>
      <c r="AO36" s="260">
        <f>G36*1</f>
        <v>0</v>
      </c>
      <c r="AP36" s="260">
        <f>G36*(1-1)</f>
        <v>0</v>
      </c>
      <c r="AQ36" s="262" t="s">
        <v>69</v>
      </c>
      <c r="AV36" s="260">
        <f>AW36+AX36</f>
        <v>0</v>
      </c>
      <c r="AW36" s="260">
        <f>F36*AO36</f>
        <v>0</v>
      </c>
      <c r="AX36" s="260">
        <f>F36*AP36</f>
        <v>0</v>
      </c>
      <c r="AY36" s="262" t="s">
        <v>70</v>
      </c>
      <c r="AZ36" s="262" t="s">
        <v>71</v>
      </c>
      <c r="BA36" s="242" t="s">
        <v>57</v>
      </c>
      <c r="BC36" s="260">
        <f>AW36+AX36</f>
        <v>0</v>
      </c>
      <c r="BD36" s="260">
        <f>G36/(100-BE36)*100</f>
        <v>0</v>
      </c>
      <c r="BE36" s="260">
        <v>0</v>
      </c>
      <c r="BF36" s="260">
        <f>40</f>
        <v>40</v>
      </c>
      <c r="BH36" s="260">
        <f>F36*AO36</f>
        <v>0</v>
      </c>
      <c r="BI36" s="260">
        <f>F36*AP36</f>
        <v>0</v>
      </c>
      <c r="BJ36" s="260">
        <f>F36*G36</f>
        <v>0</v>
      </c>
      <c r="BK36" s="260"/>
      <c r="BL36" s="260">
        <v>712</v>
      </c>
      <c r="BW36" s="260">
        <v>21</v>
      </c>
      <c r="BX36" s="263" t="s">
        <v>123</v>
      </c>
    </row>
    <row r="37" spans="1:11" ht="15">
      <c r="A37" s="264"/>
      <c r="C37" s="265" t="s">
        <v>362</v>
      </c>
      <c r="D37" s="265" t="s">
        <v>49</v>
      </c>
      <c r="F37" s="266">
        <v>37.191</v>
      </c>
      <c r="K37" s="267"/>
    </row>
    <row r="38" spans="1:76" ht="15">
      <c r="A38" s="258" t="s">
        <v>121</v>
      </c>
      <c r="B38" s="259" t="s">
        <v>108</v>
      </c>
      <c r="C38" s="232" t="s">
        <v>125</v>
      </c>
      <c r="D38" s="228"/>
      <c r="E38" s="259" t="s">
        <v>78</v>
      </c>
      <c r="F38" s="260">
        <v>548</v>
      </c>
      <c r="G38" s="277"/>
      <c r="H38" s="260">
        <f>F38*AO38</f>
        <v>0</v>
      </c>
      <c r="I38" s="260">
        <f>F38*AP38</f>
        <v>0</v>
      </c>
      <c r="J38" s="260">
        <f>F38*G38</f>
        <v>0</v>
      </c>
      <c r="K38" s="261" t="s">
        <v>79</v>
      </c>
      <c r="Z38" s="260">
        <f>IF(AQ38="5",BJ38,0)</f>
        <v>0</v>
      </c>
      <c r="AB38" s="260">
        <f>IF(AQ38="1",BH38,0)</f>
        <v>0</v>
      </c>
      <c r="AC38" s="260">
        <f>IF(AQ38="1",BI38,0)</f>
        <v>0</v>
      </c>
      <c r="AD38" s="260">
        <f>IF(AQ38="7",BH38,0)</f>
        <v>0</v>
      </c>
      <c r="AE38" s="260">
        <f>IF(AQ38="7",BI38,0)</f>
        <v>0</v>
      </c>
      <c r="AF38" s="260">
        <f>IF(AQ38="2",BH38,0)</f>
        <v>0</v>
      </c>
      <c r="AG38" s="260">
        <f>IF(AQ38="2",BI38,0)</f>
        <v>0</v>
      </c>
      <c r="AH38" s="260">
        <f>IF(AQ38="0",BJ38,0)</f>
        <v>0</v>
      </c>
      <c r="AI38" s="242" t="s">
        <v>49</v>
      </c>
      <c r="AJ38" s="260">
        <f>IF(AN38=0,J38,0)</f>
        <v>0</v>
      </c>
      <c r="AK38" s="260">
        <f>IF(AN38=12,J38,0)</f>
        <v>0</v>
      </c>
      <c r="AL38" s="260">
        <f>IF(AN38=21,J38,0)</f>
        <v>0</v>
      </c>
      <c r="AN38" s="260">
        <v>21</v>
      </c>
      <c r="AO38" s="260">
        <f>G38*0</f>
        <v>0</v>
      </c>
      <c r="AP38" s="260">
        <f>G38*(1-0)</f>
        <v>0</v>
      </c>
      <c r="AQ38" s="262" t="s">
        <v>69</v>
      </c>
      <c r="AV38" s="260">
        <f>AW38+AX38</f>
        <v>0</v>
      </c>
      <c r="AW38" s="260">
        <f>F38*AO38</f>
        <v>0</v>
      </c>
      <c r="AX38" s="260">
        <f>F38*AP38</f>
        <v>0</v>
      </c>
      <c r="AY38" s="262" t="s">
        <v>70</v>
      </c>
      <c r="AZ38" s="262" t="s">
        <v>71</v>
      </c>
      <c r="BA38" s="242" t="s">
        <v>57</v>
      </c>
      <c r="BC38" s="260">
        <f>AW38+AX38</f>
        <v>0</v>
      </c>
      <c r="BD38" s="260">
        <f>G38/(100-BE38)*100</f>
        <v>0</v>
      </c>
      <c r="BE38" s="260">
        <v>0</v>
      </c>
      <c r="BF38" s="260">
        <f>42</f>
        <v>42</v>
      </c>
      <c r="BH38" s="260">
        <f>F38*AO38</f>
        <v>0</v>
      </c>
      <c r="BI38" s="260">
        <f>F38*AP38</f>
        <v>0</v>
      </c>
      <c r="BJ38" s="260">
        <f>F38*G38</f>
        <v>0</v>
      </c>
      <c r="BK38" s="260"/>
      <c r="BL38" s="260">
        <v>712</v>
      </c>
      <c r="BW38" s="260">
        <v>21</v>
      </c>
      <c r="BX38" s="263" t="s">
        <v>125</v>
      </c>
    </row>
    <row r="39" spans="1:11" ht="15">
      <c r="A39" s="264"/>
      <c r="C39" s="265" t="s">
        <v>365</v>
      </c>
      <c r="D39" s="265" t="s">
        <v>49</v>
      </c>
      <c r="F39" s="266">
        <v>548</v>
      </c>
      <c r="K39" s="267"/>
    </row>
    <row r="40" spans="1:76" ht="15">
      <c r="A40" s="258" t="s">
        <v>124</v>
      </c>
      <c r="B40" s="259" t="s">
        <v>112</v>
      </c>
      <c r="C40" s="232" t="s">
        <v>113</v>
      </c>
      <c r="D40" s="228"/>
      <c r="E40" s="259" t="s">
        <v>78</v>
      </c>
      <c r="F40" s="260">
        <v>630.2</v>
      </c>
      <c r="G40" s="277"/>
      <c r="H40" s="260">
        <f>F40*AO40</f>
        <v>0</v>
      </c>
      <c r="I40" s="260">
        <f>F40*AP40</f>
        <v>0</v>
      </c>
      <c r="J40" s="260">
        <f>F40*G40</f>
        <v>0</v>
      </c>
      <c r="K40" s="261" t="s">
        <v>79</v>
      </c>
      <c r="Z40" s="260">
        <f>IF(AQ40="5",BJ40,0)</f>
        <v>0</v>
      </c>
      <c r="AB40" s="260">
        <f>IF(AQ40="1",BH40,0)</f>
        <v>0</v>
      </c>
      <c r="AC40" s="260">
        <f>IF(AQ40="1",BI40,0)</f>
        <v>0</v>
      </c>
      <c r="AD40" s="260">
        <f>IF(AQ40="7",BH40,0)</f>
        <v>0</v>
      </c>
      <c r="AE40" s="260">
        <f>IF(AQ40="7",BI40,0)</f>
        <v>0</v>
      </c>
      <c r="AF40" s="260">
        <f>IF(AQ40="2",BH40,0)</f>
        <v>0</v>
      </c>
      <c r="AG40" s="260">
        <f>IF(AQ40="2",BI40,0)</f>
        <v>0</v>
      </c>
      <c r="AH40" s="260">
        <f>IF(AQ40="0",BJ40,0)</f>
        <v>0</v>
      </c>
      <c r="AI40" s="242" t="s">
        <v>49</v>
      </c>
      <c r="AJ40" s="260">
        <f>IF(AN40=0,J40,0)</f>
        <v>0</v>
      </c>
      <c r="AK40" s="260">
        <f>IF(AN40=12,J40,0)</f>
        <v>0</v>
      </c>
      <c r="AL40" s="260">
        <f>IF(AN40=21,J40,0)</f>
        <v>0</v>
      </c>
      <c r="AN40" s="260">
        <v>21</v>
      </c>
      <c r="AO40" s="260">
        <f>G40*1</f>
        <v>0</v>
      </c>
      <c r="AP40" s="260">
        <f>G40*(1-1)</f>
        <v>0</v>
      </c>
      <c r="AQ40" s="262" t="s">
        <v>69</v>
      </c>
      <c r="AV40" s="260">
        <f>AW40+AX40</f>
        <v>0</v>
      </c>
      <c r="AW40" s="260">
        <f>F40*AO40</f>
        <v>0</v>
      </c>
      <c r="AX40" s="260">
        <f>F40*AP40</f>
        <v>0</v>
      </c>
      <c r="AY40" s="262" t="s">
        <v>70</v>
      </c>
      <c r="AZ40" s="262" t="s">
        <v>71</v>
      </c>
      <c r="BA40" s="242" t="s">
        <v>57</v>
      </c>
      <c r="BC40" s="260">
        <f>AW40+AX40</f>
        <v>0</v>
      </c>
      <c r="BD40" s="260">
        <f>G40/(100-BE40)*100</f>
        <v>0</v>
      </c>
      <c r="BE40" s="260">
        <v>0</v>
      </c>
      <c r="BF40" s="260">
        <f>44</f>
        <v>44</v>
      </c>
      <c r="BH40" s="260">
        <f>F40*AO40</f>
        <v>0</v>
      </c>
      <c r="BI40" s="260">
        <f>F40*AP40</f>
        <v>0</v>
      </c>
      <c r="BJ40" s="260">
        <f>F40*G40</f>
        <v>0</v>
      </c>
      <c r="BK40" s="260"/>
      <c r="BL40" s="260">
        <v>712</v>
      </c>
      <c r="BW40" s="260">
        <v>21</v>
      </c>
      <c r="BX40" s="263" t="s">
        <v>113</v>
      </c>
    </row>
    <row r="41" spans="1:11" ht="15">
      <c r="A41" s="264"/>
      <c r="C41" s="265" t="s">
        <v>366</v>
      </c>
      <c r="D41" s="265" t="s">
        <v>49</v>
      </c>
      <c r="F41" s="266">
        <v>630.2</v>
      </c>
      <c r="K41" s="267"/>
    </row>
    <row r="42" spans="1:76" ht="15">
      <c r="A42" s="258" t="s">
        <v>126</v>
      </c>
      <c r="B42" s="259" t="s">
        <v>100</v>
      </c>
      <c r="C42" s="232" t="s">
        <v>129</v>
      </c>
      <c r="D42" s="228"/>
      <c r="E42" s="259" t="s">
        <v>78</v>
      </c>
      <c r="F42" s="260">
        <v>548</v>
      </c>
      <c r="G42" s="277"/>
      <c r="H42" s="260">
        <f>F42*AO42</f>
        <v>0</v>
      </c>
      <c r="I42" s="260">
        <f>F42*AP42</f>
        <v>0</v>
      </c>
      <c r="J42" s="260">
        <f>F42*G42</f>
        <v>0</v>
      </c>
      <c r="K42" s="261" t="s">
        <v>79</v>
      </c>
      <c r="Z42" s="260">
        <f>IF(AQ42="5",BJ42,0)</f>
        <v>0</v>
      </c>
      <c r="AB42" s="260">
        <f>IF(AQ42="1",BH42,0)</f>
        <v>0</v>
      </c>
      <c r="AC42" s="260">
        <f>IF(AQ42="1",BI42,0)</f>
        <v>0</v>
      </c>
      <c r="AD42" s="260">
        <f>IF(AQ42="7",BH42,0)</f>
        <v>0</v>
      </c>
      <c r="AE42" s="260">
        <f>IF(AQ42="7",BI42,0)</f>
        <v>0</v>
      </c>
      <c r="AF42" s="260">
        <f>IF(AQ42="2",BH42,0)</f>
        <v>0</v>
      </c>
      <c r="AG42" s="260">
        <f>IF(AQ42="2",BI42,0)</f>
        <v>0</v>
      </c>
      <c r="AH42" s="260">
        <f>IF(AQ42="0",BJ42,0)</f>
        <v>0</v>
      </c>
      <c r="AI42" s="242" t="s">
        <v>49</v>
      </c>
      <c r="AJ42" s="260">
        <f>IF(AN42=0,J42,0)</f>
        <v>0</v>
      </c>
      <c r="AK42" s="260">
        <f>IF(AN42=12,J42,0)</f>
        <v>0</v>
      </c>
      <c r="AL42" s="260">
        <f>IF(AN42=21,J42,0)</f>
        <v>0</v>
      </c>
      <c r="AN42" s="260">
        <v>21</v>
      </c>
      <c r="AO42" s="260">
        <f>G42*0.105447471</f>
        <v>0</v>
      </c>
      <c r="AP42" s="260">
        <f>G42*(1-0.105447471)</f>
        <v>0</v>
      </c>
      <c r="AQ42" s="262" t="s">
        <v>69</v>
      </c>
      <c r="AV42" s="260">
        <f>AW42+AX42</f>
        <v>0</v>
      </c>
      <c r="AW42" s="260">
        <f>F42*AO42</f>
        <v>0</v>
      </c>
      <c r="AX42" s="260">
        <f>F42*AP42</f>
        <v>0</v>
      </c>
      <c r="AY42" s="262" t="s">
        <v>70</v>
      </c>
      <c r="AZ42" s="262" t="s">
        <v>71</v>
      </c>
      <c r="BA42" s="242" t="s">
        <v>57</v>
      </c>
      <c r="BC42" s="260">
        <f>AW42+AX42</f>
        <v>0</v>
      </c>
      <c r="BD42" s="260">
        <f>G42/(100-BE42)*100</f>
        <v>0</v>
      </c>
      <c r="BE42" s="260">
        <v>0</v>
      </c>
      <c r="BF42" s="260">
        <f>46</f>
        <v>46</v>
      </c>
      <c r="BH42" s="260">
        <f>F42*AO42</f>
        <v>0</v>
      </c>
      <c r="BI42" s="260">
        <f>F42*AP42</f>
        <v>0</v>
      </c>
      <c r="BJ42" s="260">
        <f>F42*G42</f>
        <v>0</v>
      </c>
      <c r="BK42" s="260"/>
      <c r="BL42" s="260">
        <v>712</v>
      </c>
      <c r="BW42" s="260">
        <v>21</v>
      </c>
      <c r="BX42" s="263" t="s">
        <v>129</v>
      </c>
    </row>
    <row r="43" spans="1:11" ht="15">
      <c r="A43" s="264"/>
      <c r="C43" s="265" t="s">
        <v>365</v>
      </c>
      <c r="D43" s="265" t="s">
        <v>49</v>
      </c>
      <c r="F43" s="266">
        <v>548</v>
      </c>
      <c r="K43" s="267"/>
    </row>
    <row r="44" spans="1:76" ht="15">
      <c r="A44" s="258" t="s">
        <v>128</v>
      </c>
      <c r="B44" s="259" t="s">
        <v>104</v>
      </c>
      <c r="C44" s="232" t="s">
        <v>105</v>
      </c>
      <c r="D44" s="228"/>
      <c r="E44" s="259" t="s">
        <v>78</v>
      </c>
      <c r="F44" s="260">
        <v>630.2</v>
      </c>
      <c r="G44" s="277"/>
      <c r="H44" s="260">
        <f>F44*AO44</f>
        <v>0</v>
      </c>
      <c r="I44" s="260">
        <f>F44*AP44</f>
        <v>0</v>
      </c>
      <c r="J44" s="260">
        <f>F44*G44</f>
        <v>0</v>
      </c>
      <c r="K44" s="261" t="s">
        <v>79</v>
      </c>
      <c r="Z44" s="260">
        <f>IF(AQ44="5",BJ44,0)</f>
        <v>0</v>
      </c>
      <c r="AB44" s="260">
        <f>IF(AQ44="1",BH44,0)</f>
        <v>0</v>
      </c>
      <c r="AC44" s="260">
        <f>IF(AQ44="1",BI44,0)</f>
        <v>0</v>
      </c>
      <c r="AD44" s="260">
        <f>IF(AQ44="7",BH44,0)</f>
        <v>0</v>
      </c>
      <c r="AE44" s="260">
        <f>IF(AQ44="7",BI44,0)</f>
        <v>0</v>
      </c>
      <c r="AF44" s="260">
        <f>IF(AQ44="2",BH44,0)</f>
        <v>0</v>
      </c>
      <c r="AG44" s="260">
        <f>IF(AQ44="2",BI44,0)</f>
        <v>0</v>
      </c>
      <c r="AH44" s="260">
        <f>IF(AQ44="0",BJ44,0)</f>
        <v>0</v>
      </c>
      <c r="AI44" s="242" t="s">
        <v>49</v>
      </c>
      <c r="AJ44" s="260">
        <f>IF(AN44=0,J44,0)</f>
        <v>0</v>
      </c>
      <c r="AK44" s="260">
        <f>IF(AN44=12,J44,0)</f>
        <v>0</v>
      </c>
      <c r="AL44" s="260">
        <f>IF(AN44=21,J44,0)</f>
        <v>0</v>
      </c>
      <c r="AN44" s="260">
        <v>21</v>
      </c>
      <c r="AO44" s="260">
        <f>G44*1</f>
        <v>0</v>
      </c>
      <c r="AP44" s="260">
        <f>G44*(1-1)</f>
        <v>0</v>
      </c>
      <c r="AQ44" s="262" t="s">
        <v>69</v>
      </c>
      <c r="AV44" s="260">
        <f>AW44+AX44</f>
        <v>0</v>
      </c>
      <c r="AW44" s="260">
        <f>F44*AO44</f>
        <v>0</v>
      </c>
      <c r="AX44" s="260">
        <f>F44*AP44</f>
        <v>0</v>
      </c>
      <c r="AY44" s="262" t="s">
        <v>70</v>
      </c>
      <c r="AZ44" s="262" t="s">
        <v>71</v>
      </c>
      <c r="BA44" s="242" t="s">
        <v>57</v>
      </c>
      <c r="BC44" s="260">
        <f>AW44+AX44</f>
        <v>0</v>
      </c>
      <c r="BD44" s="260">
        <f>G44/(100-BE44)*100</f>
        <v>0</v>
      </c>
      <c r="BE44" s="260">
        <v>0</v>
      </c>
      <c r="BF44" s="260">
        <f>48</f>
        <v>48</v>
      </c>
      <c r="BH44" s="260">
        <f>F44*AO44</f>
        <v>0</v>
      </c>
      <c r="BI44" s="260">
        <f>F44*AP44</f>
        <v>0</v>
      </c>
      <c r="BJ44" s="260">
        <f>F44*G44</f>
        <v>0</v>
      </c>
      <c r="BK44" s="260"/>
      <c r="BL44" s="260">
        <v>712</v>
      </c>
      <c r="BW44" s="260">
        <v>21</v>
      </c>
      <c r="BX44" s="263" t="s">
        <v>105</v>
      </c>
    </row>
    <row r="45" spans="1:11" ht="15">
      <c r="A45" s="264"/>
      <c r="C45" s="265" t="s">
        <v>366</v>
      </c>
      <c r="D45" s="265" t="s">
        <v>49</v>
      </c>
      <c r="F45" s="266">
        <v>630.2</v>
      </c>
      <c r="K45" s="267"/>
    </row>
    <row r="46" spans="1:76" ht="15">
      <c r="A46" s="258" t="s">
        <v>130</v>
      </c>
      <c r="B46" s="259" t="s">
        <v>100</v>
      </c>
      <c r="C46" s="232" t="s">
        <v>129</v>
      </c>
      <c r="D46" s="228"/>
      <c r="E46" s="259" t="s">
        <v>78</v>
      </c>
      <c r="F46" s="260">
        <v>548</v>
      </c>
      <c r="G46" s="277"/>
      <c r="H46" s="260">
        <f>F46*AO46</f>
        <v>0</v>
      </c>
      <c r="I46" s="260">
        <f>F46*AP46</f>
        <v>0</v>
      </c>
      <c r="J46" s="260">
        <f>F46*G46</f>
        <v>0</v>
      </c>
      <c r="K46" s="261" t="s">
        <v>79</v>
      </c>
      <c r="Z46" s="260">
        <f>IF(AQ46="5",BJ46,0)</f>
        <v>0</v>
      </c>
      <c r="AB46" s="260">
        <f>IF(AQ46="1",BH46,0)</f>
        <v>0</v>
      </c>
      <c r="AC46" s="260">
        <f>IF(AQ46="1",BI46,0)</f>
        <v>0</v>
      </c>
      <c r="AD46" s="260">
        <f>IF(AQ46="7",BH46,0)</f>
        <v>0</v>
      </c>
      <c r="AE46" s="260">
        <f>IF(AQ46="7",BI46,0)</f>
        <v>0</v>
      </c>
      <c r="AF46" s="260">
        <f>IF(AQ46="2",BH46,0)</f>
        <v>0</v>
      </c>
      <c r="AG46" s="260">
        <f>IF(AQ46="2",BI46,0)</f>
        <v>0</v>
      </c>
      <c r="AH46" s="260">
        <f>IF(AQ46="0",BJ46,0)</f>
        <v>0</v>
      </c>
      <c r="AI46" s="242" t="s">
        <v>49</v>
      </c>
      <c r="AJ46" s="260">
        <f>IF(AN46=0,J46,0)</f>
        <v>0</v>
      </c>
      <c r="AK46" s="260">
        <f>IF(AN46=12,J46,0)</f>
        <v>0</v>
      </c>
      <c r="AL46" s="260">
        <f>IF(AN46=21,J46,0)</f>
        <v>0</v>
      </c>
      <c r="AN46" s="260">
        <v>21</v>
      </c>
      <c r="AO46" s="260">
        <f>G46*0.105447471</f>
        <v>0</v>
      </c>
      <c r="AP46" s="260">
        <f>G46*(1-0.105447471)</f>
        <v>0</v>
      </c>
      <c r="AQ46" s="262" t="s">
        <v>69</v>
      </c>
      <c r="AV46" s="260">
        <f>AW46+AX46</f>
        <v>0</v>
      </c>
      <c r="AW46" s="260">
        <f>F46*AO46</f>
        <v>0</v>
      </c>
      <c r="AX46" s="260">
        <f>F46*AP46</f>
        <v>0</v>
      </c>
      <c r="AY46" s="262" t="s">
        <v>70</v>
      </c>
      <c r="AZ46" s="262" t="s">
        <v>71</v>
      </c>
      <c r="BA46" s="242" t="s">
        <v>57</v>
      </c>
      <c r="BC46" s="260">
        <f>AW46+AX46</f>
        <v>0</v>
      </c>
      <c r="BD46" s="260">
        <f>G46/(100-BE46)*100</f>
        <v>0</v>
      </c>
      <c r="BE46" s="260">
        <v>0</v>
      </c>
      <c r="BF46" s="260">
        <f>50</f>
        <v>50</v>
      </c>
      <c r="BH46" s="260">
        <f>F46*AO46</f>
        <v>0</v>
      </c>
      <c r="BI46" s="260">
        <f>F46*AP46</f>
        <v>0</v>
      </c>
      <c r="BJ46" s="260">
        <f>F46*G46</f>
        <v>0</v>
      </c>
      <c r="BK46" s="260"/>
      <c r="BL46" s="260">
        <v>712</v>
      </c>
      <c r="BW46" s="260">
        <v>21</v>
      </c>
      <c r="BX46" s="263" t="s">
        <v>129</v>
      </c>
    </row>
    <row r="47" spans="1:11" ht="15">
      <c r="A47" s="264"/>
      <c r="C47" s="265" t="s">
        <v>365</v>
      </c>
      <c r="D47" s="265" t="s">
        <v>49</v>
      </c>
      <c r="F47" s="266">
        <v>548</v>
      </c>
      <c r="K47" s="267"/>
    </row>
    <row r="48" spans="1:76" ht="15">
      <c r="A48" s="258" t="s">
        <v>132</v>
      </c>
      <c r="B48" s="259" t="s">
        <v>122</v>
      </c>
      <c r="C48" s="232" t="s">
        <v>123</v>
      </c>
      <c r="D48" s="228"/>
      <c r="E48" s="259" t="s">
        <v>78</v>
      </c>
      <c r="F48" s="260">
        <v>630.2</v>
      </c>
      <c r="G48" s="277"/>
      <c r="H48" s="260">
        <f>F48*AO48</f>
        <v>0</v>
      </c>
      <c r="I48" s="260">
        <f>F48*AP48</f>
        <v>0</v>
      </c>
      <c r="J48" s="260">
        <f>F48*G48</f>
        <v>0</v>
      </c>
      <c r="K48" s="261" t="s">
        <v>79</v>
      </c>
      <c r="Z48" s="260">
        <f>IF(AQ48="5",BJ48,0)</f>
        <v>0</v>
      </c>
      <c r="AB48" s="260">
        <f>IF(AQ48="1",BH48,0)</f>
        <v>0</v>
      </c>
      <c r="AC48" s="260">
        <f>IF(AQ48="1",BI48,0)</f>
        <v>0</v>
      </c>
      <c r="AD48" s="260">
        <f>IF(AQ48="7",BH48,0)</f>
        <v>0</v>
      </c>
      <c r="AE48" s="260">
        <f>IF(AQ48="7",BI48,0)</f>
        <v>0</v>
      </c>
      <c r="AF48" s="260">
        <f>IF(AQ48="2",BH48,0)</f>
        <v>0</v>
      </c>
      <c r="AG48" s="260">
        <f>IF(AQ48="2",BI48,0)</f>
        <v>0</v>
      </c>
      <c r="AH48" s="260">
        <f>IF(AQ48="0",BJ48,0)</f>
        <v>0</v>
      </c>
      <c r="AI48" s="242" t="s">
        <v>49</v>
      </c>
      <c r="AJ48" s="260">
        <f>IF(AN48=0,J48,0)</f>
        <v>0</v>
      </c>
      <c r="AK48" s="260">
        <f>IF(AN48=12,J48,0)</f>
        <v>0</v>
      </c>
      <c r="AL48" s="260">
        <f>IF(AN48=21,J48,0)</f>
        <v>0</v>
      </c>
      <c r="AN48" s="260">
        <v>21</v>
      </c>
      <c r="AO48" s="260">
        <f>G48*1</f>
        <v>0</v>
      </c>
      <c r="AP48" s="260">
        <f>G48*(1-1)</f>
        <v>0</v>
      </c>
      <c r="AQ48" s="262" t="s">
        <v>69</v>
      </c>
      <c r="AV48" s="260">
        <f>AW48+AX48</f>
        <v>0</v>
      </c>
      <c r="AW48" s="260">
        <f>F48*AO48</f>
        <v>0</v>
      </c>
      <c r="AX48" s="260">
        <f>F48*AP48</f>
        <v>0</v>
      </c>
      <c r="AY48" s="262" t="s">
        <v>70</v>
      </c>
      <c r="AZ48" s="262" t="s">
        <v>71</v>
      </c>
      <c r="BA48" s="242" t="s">
        <v>57</v>
      </c>
      <c r="BC48" s="260">
        <f>AW48+AX48</f>
        <v>0</v>
      </c>
      <c r="BD48" s="260">
        <f>G48/(100-BE48)*100</f>
        <v>0</v>
      </c>
      <c r="BE48" s="260">
        <v>0</v>
      </c>
      <c r="BF48" s="260">
        <f>52</f>
        <v>52</v>
      </c>
      <c r="BH48" s="260">
        <f>F48*AO48</f>
        <v>0</v>
      </c>
      <c r="BI48" s="260">
        <f>F48*AP48</f>
        <v>0</v>
      </c>
      <c r="BJ48" s="260">
        <f>F48*G48</f>
        <v>0</v>
      </c>
      <c r="BK48" s="260"/>
      <c r="BL48" s="260">
        <v>712</v>
      </c>
      <c r="BW48" s="260">
        <v>21</v>
      </c>
      <c r="BX48" s="263" t="s">
        <v>123</v>
      </c>
    </row>
    <row r="49" spans="1:11" ht="15">
      <c r="A49" s="264"/>
      <c r="C49" s="265" t="s">
        <v>366</v>
      </c>
      <c r="D49" s="265" t="s">
        <v>49</v>
      </c>
      <c r="F49" s="266">
        <v>630.2</v>
      </c>
      <c r="K49" s="267"/>
    </row>
    <row r="50" spans="1:76" ht="15">
      <c r="A50" s="258" t="s">
        <v>133</v>
      </c>
      <c r="B50" s="259" t="s">
        <v>108</v>
      </c>
      <c r="C50" s="232" t="s">
        <v>146</v>
      </c>
      <c r="D50" s="228"/>
      <c r="E50" s="259" t="s">
        <v>78</v>
      </c>
      <c r="F50" s="260">
        <v>63.288</v>
      </c>
      <c r="G50" s="277"/>
      <c r="H50" s="260">
        <f>F50*AO50</f>
        <v>0</v>
      </c>
      <c r="I50" s="260">
        <f>F50*AP50</f>
        <v>0</v>
      </c>
      <c r="J50" s="260">
        <f>F50*G50</f>
        <v>0</v>
      </c>
      <c r="K50" s="261" t="s">
        <v>79</v>
      </c>
      <c r="Z50" s="260">
        <f>IF(AQ50="5",BJ50,0)</f>
        <v>0</v>
      </c>
      <c r="AB50" s="260">
        <f>IF(AQ50="1",BH50,0)</f>
        <v>0</v>
      </c>
      <c r="AC50" s="260">
        <f>IF(AQ50="1",BI50,0)</f>
        <v>0</v>
      </c>
      <c r="AD50" s="260">
        <f>IF(AQ50="7",BH50,0)</f>
        <v>0</v>
      </c>
      <c r="AE50" s="260">
        <f>IF(AQ50="7",BI50,0)</f>
        <v>0</v>
      </c>
      <c r="AF50" s="260">
        <f>IF(AQ50="2",BH50,0)</f>
        <v>0</v>
      </c>
      <c r="AG50" s="260">
        <f>IF(AQ50="2",BI50,0)</f>
        <v>0</v>
      </c>
      <c r="AH50" s="260">
        <f>IF(AQ50="0",BJ50,0)</f>
        <v>0</v>
      </c>
      <c r="AI50" s="242" t="s">
        <v>49</v>
      </c>
      <c r="AJ50" s="260">
        <f>IF(AN50=0,J50,0)</f>
        <v>0</v>
      </c>
      <c r="AK50" s="260">
        <f>IF(AN50=12,J50,0)</f>
        <v>0</v>
      </c>
      <c r="AL50" s="260">
        <f>IF(AN50=21,J50,0)</f>
        <v>0</v>
      </c>
      <c r="AN50" s="260">
        <v>21</v>
      </c>
      <c r="AO50" s="260">
        <f>G50*0</f>
        <v>0</v>
      </c>
      <c r="AP50" s="260">
        <f>G50*(1-0)</f>
        <v>0</v>
      </c>
      <c r="AQ50" s="262" t="s">
        <v>69</v>
      </c>
      <c r="AV50" s="260">
        <f>AW50+AX50</f>
        <v>0</v>
      </c>
      <c r="AW50" s="260">
        <f>F50*AO50</f>
        <v>0</v>
      </c>
      <c r="AX50" s="260">
        <f>F50*AP50</f>
        <v>0</v>
      </c>
      <c r="AY50" s="262" t="s">
        <v>70</v>
      </c>
      <c r="AZ50" s="262" t="s">
        <v>71</v>
      </c>
      <c r="BA50" s="242" t="s">
        <v>57</v>
      </c>
      <c r="BC50" s="260">
        <f>AW50+AX50</f>
        <v>0</v>
      </c>
      <c r="BD50" s="260">
        <f>G50/(100-BE50)*100</f>
        <v>0</v>
      </c>
      <c r="BE50" s="260">
        <v>0</v>
      </c>
      <c r="BF50" s="260">
        <f>54</f>
        <v>54</v>
      </c>
      <c r="BH50" s="260">
        <f>F50*AO50</f>
        <v>0</v>
      </c>
      <c r="BI50" s="260">
        <f>F50*AP50</f>
        <v>0</v>
      </c>
      <c r="BJ50" s="260">
        <f>F50*G50</f>
        <v>0</v>
      </c>
      <c r="BK50" s="260"/>
      <c r="BL50" s="260">
        <v>712</v>
      </c>
      <c r="BW50" s="260">
        <v>21</v>
      </c>
      <c r="BX50" s="263" t="s">
        <v>146</v>
      </c>
    </row>
    <row r="51" spans="1:11" ht="15">
      <c r="A51" s="264"/>
      <c r="C51" s="265" t="s">
        <v>367</v>
      </c>
      <c r="D51" s="265" t="s">
        <v>49</v>
      </c>
      <c r="F51" s="266">
        <v>63.288</v>
      </c>
      <c r="K51" s="267"/>
    </row>
    <row r="52" spans="1:76" ht="15">
      <c r="A52" s="258" t="s">
        <v>136</v>
      </c>
      <c r="B52" s="259" t="s">
        <v>112</v>
      </c>
      <c r="C52" s="232" t="s">
        <v>113</v>
      </c>
      <c r="D52" s="228"/>
      <c r="E52" s="259" t="s">
        <v>78</v>
      </c>
      <c r="F52" s="260">
        <v>72.7812</v>
      </c>
      <c r="G52" s="277"/>
      <c r="H52" s="260">
        <f>F52*AO52</f>
        <v>0</v>
      </c>
      <c r="I52" s="260">
        <f>F52*AP52</f>
        <v>0</v>
      </c>
      <c r="J52" s="260">
        <f>F52*G52</f>
        <v>0</v>
      </c>
      <c r="K52" s="261" t="s">
        <v>79</v>
      </c>
      <c r="Z52" s="260">
        <f>IF(AQ52="5",BJ52,0)</f>
        <v>0</v>
      </c>
      <c r="AB52" s="260">
        <f>IF(AQ52="1",BH52,0)</f>
        <v>0</v>
      </c>
      <c r="AC52" s="260">
        <f>IF(AQ52="1",BI52,0)</f>
        <v>0</v>
      </c>
      <c r="AD52" s="260">
        <f>IF(AQ52="7",BH52,0)</f>
        <v>0</v>
      </c>
      <c r="AE52" s="260">
        <f>IF(AQ52="7",BI52,0)</f>
        <v>0</v>
      </c>
      <c r="AF52" s="260">
        <f>IF(AQ52="2",BH52,0)</f>
        <v>0</v>
      </c>
      <c r="AG52" s="260">
        <f>IF(AQ52="2",BI52,0)</f>
        <v>0</v>
      </c>
      <c r="AH52" s="260">
        <f>IF(AQ52="0",BJ52,0)</f>
        <v>0</v>
      </c>
      <c r="AI52" s="242" t="s">
        <v>49</v>
      </c>
      <c r="AJ52" s="260">
        <f>IF(AN52=0,J52,0)</f>
        <v>0</v>
      </c>
      <c r="AK52" s="260">
        <f>IF(AN52=12,J52,0)</f>
        <v>0</v>
      </c>
      <c r="AL52" s="260">
        <f>IF(AN52=21,J52,0)</f>
        <v>0</v>
      </c>
      <c r="AN52" s="260">
        <v>21</v>
      </c>
      <c r="AO52" s="260">
        <f>G52*1</f>
        <v>0</v>
      </c>
      <c r="AP52" s="260">
        <f>G52*(1-1)</f>
        <v>0</v>
      </c>
      <c r="AQ52" s="262" t="s">
        <v>69</v>
      </c>
      <c r="AV52" s="260">
        <f>AW52+AX52</f>
        <v>0</v>
      </c>
      <c r="AW52" s="260">
        <f>F52*AO52</f>
        <v>0</v>
      </c>
      <c r="AX52" s="260">
        <f>F52*AP52</f>
        <v>0</v>
      </c>
      <c r="AY52" s="262" t="s">
        <v>70</v>
      </c>
      <c r="AZ52" s="262" t="s">
        <v>71</v>
      </c>
      <c r="BA52" s="242" t="s">
        <v>57</v>
      </c>
      <c r="BC52" s="260">
        <f>AW52+AX52</f>
        <v>0</v>
      </c>
      <c r="BD52" s="260">
        <f>G52/(100-BE52)*100</f>
        <v>0</v>
      </c>
      <c r="BE52" s="260">
        <v>0</v>
      </c>
      <c r="BF52" s="260">
        <f>56</f>
        <v>56</v>
      </c>
      <c r="BH52" s="260">
        <f>F52*AO52</f>
        <v>0</v>
      </c>
      <c r="BI52" s="260">
        <f>F52*AP52</f>
        <v>0</v>
      </c>
      <c r="BJ52" s="260">
        <f>F52*G52</f>
        <v>0</v>
      </c>
      <c r="BK52" s="260"/>
      <c r="BL52" s="260">
        <v>712</v>
      </c>
      <c r="BW52" s="260">
        <v>21</v>
      </c>
      <c r="BX52" s="263" t="s">
        <v>113</v>
      </c>
    </row>
    <row r="53" spans="1:11" ht="15">
      <c r="A53" s="264"/>
      <c r="C53" s="265" t="s">
        <v>368</v>
      </c>
      <c r="D53" s="265" t="s">
        <v>49</v>
      </c>
      <c r="F53" s="266">
        <v>72.7812</v>
      </c>
      <c r="K53" s="267"/>
    </row>
    <row r="54" spans="1:76" ht="15">
      <c r="A54" s="258" t="s">
        <v>137</v>
      </c>
      <c r="B54" s="259" t="s">
        <v>108</v>
      </c>
      <c r="C54" s="232" t="s">
        <v>146</v>
      </c>
      <c r="D54" s="228"/>
      <c r="E54" s="259" t="s">
        <v>78</v>
      </c>
      <c r="F54" s="260">
        <v>31.644</v>
      </c>
      <c r="G54" s="277"/>
      <c r="H54" s="260">
        <f>F54*AO54</f>
        <v>0</v>
      </c>
      <c r="I54" s="260">
        <f>F54*AP54</f>
        <v>0</v>
      </c>
      <c r="J54" s="260">
        <f>F54*G54</f>
        <v>0</v>
      </c>
      <c r="K54" s="261" t="s">
        <v>79</v>
      </c>
      <c r="Z54" s="260">
        <f>IF(AQ54="5",BJ54,0)</f>
        <v>0</v>
      </c>
      <c r="AB54" s="260">
        <f>IF(AQ54="1",BH54,0)</f>
        <v>0</v>
      </c>
      <c r="AC54" s="260">
        <f>IF(AQ54="1",BI54,0)</f>
        <v>0</v>
      </c>
      <c r="AD54" s="260">
        <f>IF(AQ54="7",BH54,0)</f>
        <v>0</v>
      </c>
      <c r="AE54" s="260">
        <f>IF(AQ54="7",BI54,0)</f>
        <v>0</v>
      </c>
      <c r="AF54" s="260">
        <f>IF(AQ54="2",BH54,0)</f>
        <v>0</v>
      </c>
      <c r="AG54" s="260">
        <f>IF(AQ54="2",BI54,0)</f>
        <v>0</v>
      </c>
      <c r="AH54" s="260">
        <f>IF(AQ54="0",BJ54,0)</f>
        <v>0</v>
      </c>
      <c r="AI54" s="242" t="s">
        <v>49</v>
      </c>
      <c r="AJ54" s="260">
        <f>IF(AN54=0,J54,0)</f>
        <v>0</v>
      </c>
      <c r="AK54" s="260">
        <f>IF(AN54=12,J54,0)</f>
        <v>0</v>
      </c>
      <c r="AL54" s="260">
        <f>IF(AN54=21,J54,0)</f>
        <v>0</v>
      </c>
      <c r="AN54" s="260">
        <v>21</v>
      </c>
      <c r="AO54" s="260">
        <f>G54*0</f>
        <v>0</v>
      </c>
      <c r="AP54" s="260">
        <f>G54*(1-0)</f>
        <v>0</v>
      </c>
      <c r="AQ54" s="262" t="s">
        <v>69</v>
      </c>
      <c r="AV54" s="260">
        <f>AW54+AX54</f>
        <v>0</v>
      </c>
      <c r="AW54" s="260">
        <f>F54*AO54</f>
        <v>0</v>
      </c>
      <c r="AX54" s="260">
        <f>F54*AP54</f>
        <v>0</v>
      </c>
      <c r="AY54" s="262" t="s">
        <v>70</v>
      </c>
      <c r="AZ54" s="262" t="s">
        <v>71</v>
      </c>
      <c r="BA54" s="242" t="s">
        <v>57</v>
      </c>
      <c r="BC54" s="260">
        <f>AW54+AX54</f>
        <v>0</v>
      </c>
      <c r="BD54" s="260">
        <f>G54/(100-BE54)*100</f>
        <v>0</v>
      </c>
      <c r="BE54" s="260">
        <v>0</v>
      </c>
      <c r="BF54" s="260">
        <f>58</f>
        <v>58</v>
      </c>
      <c r="BH54" s="260">
        <f>F54*AO54</f>
        <v>0</v>
      </c>
      <c r="BI54" s="260">
        <f>F54*AP54</f>
        <v>0</v>
      </c>
      <c r="BJ54" s="260">
        <f>F54*G54</f>
        <v>0</v>
      </c>
      <c r="BK54" s="260"/>
      <c r="BL54" s="260">
        <v>712</v>
      </c>
      <c r="BW54" s="260">
        <v>21</v>
      </c>
      <c r="BX54" s="263" t="s">
        <v>146</v>
      </c>
    </row>
    <row r="55" spans="1:11" ht="15">
      <c r="A55" s="264"/>
      <c r="C55" s="265" t="s">
        <v>369</v>
      </c>
      <c r="D55" s="265" t="s">
        <v>49</v>
      </c>
      <c r="F55" s="266">
        <v>31.644</v>
      </c>
      <c r="K55" s="267"/>
    </row>
    <row r="56" spans="1:76" ht="15">
      <c r="A56" s="258" t="s">
        <v>139</v>
      </c>
      <c r="B56" s="259" t="s">
        <v>104</v>
      </c>
      <c r="C56" s="232" t="s">
        <v>105</v>
      </c>
      <c r="D56" s="228"/>
      <c r="E56" s="259" t="s">
        <v>78</v>
      </c>
      <c r="F56" s="260">
        <v>36.3906</v>
      </c>
      <c r="G56" s="277"/>
      <c r="H56" s="260">
        <f>F56*AO56</f>
        <v>0</v>
      </c>
      <c r="I56" s="260">
        <f>F56*AP56</f>
        <v>0</v>
      </c>
      <c r="J56" s="260">
        <f>F56*G56</f>
        <v>0</v>
      </c>
      <c r="K56" s="261" t="s">
        <v>79</v>
      </c>
      <c r="Z56" s="260">
        <f>IF(AQ56="5",BJ56,0)</f>
        <v>0</v>
      </c>
      <c r="AB56" s="260">
        <f>IF(AQ56="1",BH56,0)</f>
        <v>0</v>
      </c>
      <c r="AC56" s="260">
        <f>IF(AQ56="1",BI56,0)</f>
        <v>0</v>
      </c>
      <c r="AD56" s="260">
        <f>IF(AQ56="7",BH56,0)</f>
        <v>0</v>
      </c>
      <c r="AE56" s="260">
        <f>IF(AQ56="7",BI56,0)</f>
        <v>0</v>
      </c>
      <c r="AF56" s="260">
        <f>IF(AQ56="2",BH56,0)</f>
        <v>0</v>
      </c>
      <c r="AG56" s="260">
        <f>IF(AQ56="2",BI56,0)</f>
        <v>0</v>
      </c>
      <c r="AH56" s="260">
        <f>IF(AQ56="0",BJ56,0)</f>
        <v>0</v>
      </c>
      <c r="AI56" s="242" t="s">
        <v>49</v>
      </c>
      <c r="AJ56" s="260">
        <f>IF(AN56=0,J56,0)</f>
        <v>0</v>
      </c>
      <c r="AK56" s="260">
        <f>IF(AN56=12,J56,0)</f>
        <v>0</v>
      </c>
      <c r="AL56" s="260">
        <f>IF(AN56=21,J56,0)</f>
        <v>0</v>
      </c>
      <c r="AN56" s="260">
        <v>21</v>
      </c>
      <c r="AO56" s="260">
        <f>G56*1</f>
        <v>0</v>
      </c>
      <c r="AP56" s="260">
        <f>G56*(1-1)</f>
        <v>0</v>
      </c>
      <c r="AQ56" s="262" t="s">
        <v>69</v>
      </c>
      <c r="AV56" s="260">
        <f>AW56+AX56</f>
        <v>0</v>
      </c>
      <c r="AW56" s="260">
        <f>F56*AO56</f>
        <v>0</v>
      </c>
      <c r="AX56" s="260">
        <f>F56*AP56</f>
        <v>0</v>
      </c>
      <c r="AY56" s="262" t="s">
        <v>70</v>
      </c>
      <c r="AZ56" s="262" t="s">
        <v>71</v>
      </c>
      <c r="BA56" s="242" t="s">
        <v>57</v>
      </c>
      <c r="BC56" s="260">
        <f>AW56+AX56</f>
        <v>0</v>
      </c>
      <c r="BD56" s="260">
        <f>G56/(100-BE56)*100</f>
        <v>0</v>
      </c>
      <c r="BE56" s="260">
        <v>0</v>
      </c>
      <c r="BF56" s="260">
        <f>60</f>
        <v>60</v>
      </c>
      <c r="BH56" s="260">
        <f>F56*AO56</f>
        <v>0</v>
      </c>
      <c r="BI56" s="260">
        <f>F56*AP56</f>
        <v>0</v>
      </c>
      <c r="BJ56" s="260">
        <f>F56*G56</f>
        <v>0</v>
      </c>
      <c r="BK56" s="260"/>
      <c r="BL56" s="260">
        <v>712</v>
      </c>
      <c r="BW56" s="260">
        <v>21</v>
      </c>
      <c r="BX56" s="263" t="s">
        <v>105</v>
      </c>
    </row>
    <row r="57" spans="1:11" ht="15">
      <c r="A57" s="264"/>
      <c r="C57" s="265" t="s">
        <v>370</v>
      </c>
      <c r="D57" s="265" t="s">
        <v>49</v>
      </c>
      <c r="F57" s="266">
        <v>36.3906</v>
      </c>
      <c r="K57" s="267"/>
    </row>
    <row r="58" spans="1:76" ht="15">
      <c r="A58" s="258" t="s">
        <v>141</v>
      </c>
      <c r="B58" s="259" t="s">
        <v>100</v>
      </c>
      <c r="C58" s="232" t="s">
        <v>155</v>
      </c>
      <c r="D58" s="228"/>
      <c r="E58" s="259" t="s">
        <v>78</v>
      </c>
      <c r="F58" s="260">
        <v>31.644</v>
      </c>
      <c r="G58" s="277"/>
      <c r="H58" s="260">
        <f>F58*AO58</f>
        <v>0</v>
      </c>
      <c r="I58" s="260">
        <f>F58*AP58</f>
        <v>0</v>
      </c>
      <c r="J58" s="260">
        <f>F58*G58</f>
        <v>0</v>
      </c>
      <c r="K58" s="261" t="s">
        <v>79</v>
      </c>
      <c r="Z58" s="260">
        <f>IF(AQ58="5",BJ58,0)</f>
        <v>0</v>
      </c>
      <c r="AB58" s="260">
        <f>IF(AQ58="1",BH58,0)</f>
        <v>0</v>
      </c>
      <c r="AC58" s="260">
        <f>IF(AQ58="1",BI58,0)</f>
        <v>0</v>
      </c>
      <c r="AD58" s="260">
        <f>IF(AQ58="7",BH58,0)</f>
        <v>0</v>
      </c>
      <c r="AE58" s="260">
        <f>IF(AQ58="7",BI58,0)</f>
        <v>0</v>
      </c>
      <c r="AF58" s="260">
        <f>IF(AQ58="2",BH58,0)</f>
        <v>0</v>
      </c>
      <c r="AG58" s="260">
        <f>IF(AQ58="2",BI58,0)</f>
        <v>0</v>
      </c>
      <c r="AH58" s="260">
        <f>IF(AQ58="0",BJ58,0)</f>
        <v>0</v>
      </c>
      <c r="AI58" s="242" t="s">
        <v>49</v>
      </c>
      <c r="AJ58" s="260">
        <f>IF(AN58=0,J58,0)</f>
        <v>0</v>
      </c>
      <c r="AK58" s="260">
        <f>IF(AN58=12,J58,0)</f>
        <v>0</v>
      </c>
      <c r="AL58" s="260">
        <f>IF(AN58=21,J58,0)</f>
        <v>0</v>
      </c>
      <c r="AN58" s="260">
        <v>21</v>
      </c>
      <c r="AO58" s="260">
        <f>G58*0.105447575</f>
        <v>0</v>
      </c>
      <c r="AP58" s="260">
        <f>G58*(1-0.105447575)</f>
        <v>0</v>
      </c>
      <c r="AQ58" s="262" t="s">
        <v>69</v>
      </c>
      <c r="AV58" s="260">
        <f>AW58+AX58</f>
        <v>0</v>
      </c>
      <c r="AW58" s="260">
        <f>F58*AO58</f>
        <v>0</v>
      </c>
      <c r="AX58" s="260">
        <f>F58*AP58</f>
        <v>0</v>
      </c>
      <c r="AY58" s="262" t="s">
        <v>70</v>
      </c>
      <c r="AZ58" s="262" t="s">
        <v>71</v>
      </c>
      <c r="BA58" s="242" t="s">
        <v>57</v>
      </c>
      <c r="BC58" s="260">
        <f>AW58+AX58</f>
        <v>0</v>
      </c>
      <c r="BD58" s="260">
        <f>G58/(100-BE58)*100</f>
        <v>0</v>
      </c>
      <c r="BE58" s="260">
        <v>0</v>
      </c>
      <c r="BF58" s="260">
        <f>62</f>
        <v>62</v>
      </c>
      <c r="BH58" s="260">
        <f>F58*AO58</f>
        <v>0</v>
      </c>
      <c r="BI58" s="260">
        <f>F58*AP58</f>
        <v>0</v>
      </c>
      <c r="BJ58" s="260">
        <f>F58*G58</f>
        <v>0</v>
      </c>
      <c r="BK58" s="260"/>
      <c r="BL58" s="260">
        <v>712</v>
      </c>
      <c r="BW58" s="260">
        <v>21</v>
      </c>
      <c r="BX58" s="263" t="s">
        <v>155</v>
      </c>
    </row>
    <row r="59" spans="1:11" ht="15">
      <c r="A59" s="264"/>
      <c r="C59" s="265" t="s">
        <v>369</v>
      </c>
      <c r="D59" s="265" t="s">
        <v>49</v>
      </c>
      <c r="F59" s="266">
        <v>31.644</v>
      </c>
      <c r="K59" s="267"/>
    </row>
    <row r="60" spans="1:76" ht="15">
      <c r="A60" s="258" t="s">
        <v>145</v>
      </c>
      <c r="B60" s="259" t="s">
        <v>118</v>
      </c>
      <c r="C60" s="232" t="s">
        <v>119</v>
      </c>
      <c r="D60" s="228"/>
      <c r="E60" s="259" t="s">
        <v>78</v>
      </c>
      <c r="F60" s="260">
        <v>36.3906</v>
      </c>
      <c r="G60" s="277"/>
      <c r="H60" s="260">
        <f>F60*AO60</f>
        <v>0</v>
      </c>
      <c r="I60" s="260">
        <f>F60*AP60</f>
        <v>0</v>
      </c>
      <c r="J60" s="260">
        <f>F60*G60</f>
        <v>0</v>
      </c>
      <c r="K60" s="261" t="s">
        <v>49</v>
      </c>
      <c r="Z60" s="260">
        <f>IF(AQ60="5",BJ60,0)</f>
        <v>0</v>
      </c>
      <c r="AB60" s="260">
        <f>IF(AQ60="1",BH60,0)</f>
        <v>0</v>
      </c>
      <c r="AC60" s="260">
        <f>IF(AQ60="1",BI60,0)</f>
        <v>0</v>
      </c>
      <c r="AD60" s="260">
        <f>IF(AQ60="7",BH60,0)</f>
        <v>0</v>
      </c>
      <c r="AE60" s="260">
        <f>IF(AQ60="7",BI60,0)</f>
        <v>0</v>
      </c>
      <c r="AF60" s="260">
        <f>IF(AQ60="2",BH60,0)</f>
        <v>0</v>
      </c>
      <c r="AG60" s="260">
        <f>IF(AQ60="2",BI60,0)</f>
        <v>0</v>
      </c>
      <c r="AH60" s="260">
        <f>IF(AQ60="0",BJ60,0)</f>
        <v>0</v>
      </c>
      <c r="AI60" s="242" t="s">
        <v>49</v>
      </c>
      <c r="AJ60" s="260">
        <f>IF(AN60=0,J60,0)</f>
        <v>0</v>
      </c>
      <c r="AK60" s="260">
        <f>IF(AN60=12,J60,0)</f>
        <v>0</v>
      </c>
      <c r="AL60" s="260">
        <f>IF(AN60=21,J60,0)</f>
        <v>0</v>
      </c>
      <c r="AN60" s="260">
        <v>21</v>
      </c>
      <c r="AO60" s="260">
        <f>G60*1</f>
        <v>0</v>
      </c>
      <c r="AP60" s="260">
        <f>G60*(1-1)</f>
        <v>0</v>
      </c>
      <c r="AQ60" s="262" t="s">
        <v>69</v>
      </c>
      <c r="AV60" s="260">
        <f>AW60+AX60</f>
        <v>0</v>
      </c>
      <c r="AW60" s="260">
        <f>F60*AO60</f>
        <v>0</v>
      </c>
      <c r="AX60" s="260">
        <f>F60*AP60</f>
        <v>0</v>
      </c>
      <c r="AY60" s="262" t="s">
        <v>70</v>
      </c>
      <c r="AZ60" s="262" t="s">
        <v>71</v>
      </c>
      <c r="BA60" s="242" t="s">
        <v>57</v>
      </c>
      <c r="BC60" s="260">
        <f>AW60+AX60</f>
        <v>0</v>
      </c>
      <c r="BD60" s="260">
        <f>G60/(100-BE60)*100</f>
        <v>0</v>
      </c>
      <c r="BE60" s="260">
        <v>0</v>
      </c>
      <c r="BF60" s="260">
        <f>64</f>
        <v>64</v>
      </c>
      <c r="BH60" s="260">
        <f>F60*AO60</f>
        <v>0</v>
      </c>
      <c r="BI60" s="260">
        <f>F60*AP60</f>
        <v>0</v>
      </c>
      <c r="BJ60" s="260">
        <f>F60*G60</f>
        <v>0</v>
      </c>
      <c r="BK60" s="260"/>
      <c r="BL60" s="260">
        <v>712</v>
      </c>
      <c r="BW60" s="260">
        <v>21</v>
      </c>
      <c r="BX60" s="263" t="s">
        <v>119</v>
      </c>
    </row>
    <row r="61" spans="1:11" ht="15">
      <c r="A61" s="264"/>
      <c r="C61" s="265" t="s">
        <v>370</v>
      </c>
      <c r="D61" s="265" t="s">
        <v>49</v>
      </c>
      <c r="F61" s="266">
        <v>36.3906</v>
      </c>
      <c r="K61" s="267"/>
    </row>
    <row r="62" spans="1:76" ht="15">
      <c r="A62" s="258" t="s">
        <v>148</v>
      </c>
      <c r="B62" s="259" t="s">
        <v>100</v>
      </c>
      <c r="C62" s="232" t="s">
        <v>155</v>
      </c>
      <c r="D62" s="228"/>
      <c r="E62" s="259" t="s">
        <v>78</v>
      </c>
      <c r="F62" s="260">
        <v>31.644</v>
      </c>
      <c r="G62" s="277"/>
      <c r="H62" s="260">
        <f>F62*AO62</f>
        <v>0</v>
      </c>
      <c r="I62" s="260">
        <f>F62*AP62</f>
        <v>0</v>
      </c>
      <c r="J62" s="260">
        <f>F62*G62</f>
        <v>0</v>
      </c>
      <c r="K62" s="261" t="s">
        <v>79</v>
      </c>
      <c r="Z62" s="260">
        <f>IF(AQ62="5",BJ62,0)</f>
        <v>0</v>
      </c>
      <c r="AB62" s="260">
        <f>IF(AQ62="1",BH62,0)</f>
        <v>0</v>
      </c>
      <c r="AC62" s="260">
        <f>IF(AQ62="1",BI62,0)</f>
        <v>0</v>
      </c>
      <c r="AD62" s="260">
        <f>IF(AQ62="7",BH62,0)</f>
        <v>0</v>
      </c>
      <c r="AE62" s="260">
        <f>IF(AQ62="7",BI62,0)</f>
        <v>0</v>
      </c>
      <c r="AF62" s="260">
        <f>IF(AQ62="2",BH62,0)</f>
        <v>0</v>
      </c>
      <c r="AG62" s="260">
        <f>IF(AQ62="2",BI62,0)</f>
        <v>0</v>
      </c>
      <c r="AH62" s="260">
        <f>IF(AQ62="0",BJ62,0)</f>
        <v>0</v>
      </c>
      <c r="AI62" s="242" t="s">
        <v>49</v>
      </c>
      <c r="AJ62" s="260">
        <f>IF(AN62=0,J62,0)</f>
        <v>0</v>
      </c>
      <c r="AK62" s="260">
        <f>IF(AN62=12,J62,0)</f>
        <v>0</v>
      </c>
      <c r="AL62" s="260">
        <f>IF(AN62=21,J62,0)</f>
        <v>0</v>
      </c>
      <c r="AN62" s="260">
        <v>21</v>
      </c>
      <c r="AO62" s="260">
        <f>G62*0.105447575</f>
        <v>0</v>
      </c>
      <c r="AP62" s="260">
        <f>G62*(1-0.105447575)</f>
        <v>0</v>
      </c>
      <c r="AQ62" s="262" t="s">
        <v>69</v>
      </c>
      <c r="AV62" s="260">
        <f>AW62+AX62</f>
        <v>0</v>
      </c>
      <c r="AW62" s="260">
        <f>F62*AO62</f>
        <v>0</v>
      </c>
      <c r="AX62" s="260">
        <f>F62*AP62</f>
        <v>0</v>
      </c>
      <c r="AY62" s="262" t="s">
        <v>70</v>
      </c>
      <c r="AZ62" s="262" t="s">
        <v>71</v>
      </c>
      <c r="BA62" s="242" t="s">
        <v>57</v>
      </c>
      <c r="BC62" s="260">
        <f>AW62+AX62</f>
        <v>0</v>
      </c>
      <c r="BD62" s="260">
        <f>G62/(100-BE62)*100</f>
        <v>0</v>
      </c>
      <c r="BE62" s="260">
        <v>0</v>
      </c>
      <c r="BF62" s="260">
        <f>66</f>
        <v>66</v>
      </c>
      <c r="BH62" s="260">
        <f>F62*AO62</f>
        <v>0</v>
      </c>
      <c r="BI62" s="260">
        <f>F62*AP62</f>
        <v>0</v>
      </c>
      <c r="BJ62" s="260">
        <f>F62*G62</f>
        <v>0</v>
      </c>
      <c r="BK62" s="260"/>
      <c r="BL62" s="260">
        <v>712</v>
      </c>
      <c r="BW62" s="260">
        <v>21</v>
      </c>
      <c r="BX62" s="263" t="s">
        <v>155</v>
      </c>
    </row>
    <row r="63" spans="1:11" ht="15">
      <c r="A63" s="264"/>
      <c r="C63" s="265" t="s">
        <v>369</v>
      </c>
      <c r="D63" s="265" t="s">
        <v>49</v>
      </c>
      <c r="F63" s="266">
        <v>31.644</v>
      </c>
      <c r="K63" s="267"/>
    </row>
    <row r="64" spans="1:76" ht="15">
      <c r="A64" s="258" t="s">
        <v>150</v>
      </c>
      <c r="B64" s="259" t="s">
        <v>122</v>
      </c>
      <c r="C64" s="232" t="s">
        <v>123</v>
      </c>
      <c r="D64" s="228"/>
      <c r="E64" s="259" t="s">
        <v>78</v>
      </c>
      <c r="F64" s="260">
        <v>36.3906</v>
      </c>
      <c r="G64" s="277"/>
      <c r="H64" s="260">
        <f>F64*AO64</f>
        <v>0</v>
      </c>
      <c r="I64" s="260">
        <f>F64*AP64</f>
        <v>0</v>
      </c>
      <c r="J64" s="260">
        <f>F64*G64</f>
        <v>0</v>
      </c>
      <c r="K64" s="261" t="s">
        <v>79</v>
      </c>
      <c r="Z64" s="260">
        <f>IF(AQ64="5",BJ64,0)</f>
        <v>0</v>
      </c>
      <c r="AB64" s="260">
        <f>IF(AQ64="1",BH64,0)</f>
        <v>0</v>
      </c>
      <c r="AC64" s="260">
        <f>IF(AQ64="1",BI64,0)</f>
        <v>0</v>
      </c>
      <c r="AD64" s="260">
        <f>IF(AQ64="7",BH64,0)</f>
        <v>0</v>
      </c>
      <c r="AE64" s="260">
        <f>IF(AQ64="7",BI64,0)</f>
        <v>0</v>
      </c>
      <c r="AF64" s="260">
        <f>IF(AQ64="2",BH64,0)</f>
        <v>0</v>
      </c>
      <c r="AG64" s="260">
        <f>IF(AQ64="2",BI64,0)</f>
        <v>0</v>
      </c>
      <c r="AH64" s="260">
        <f>IF(AQ64="0",BJ64,0)</f>
        <v>0</v>
      </c>
      <c r="AI64" s="242" t="s">
        <v>49</v>
      </c>
      <c r="AJ64" s="260">
        <f>IF(AN64=0,J64,0)</f>
        <v>0</v>
      </c>
      <c r="AK64" s="260">
        <f>IF(AN64=12,J64,0)</f>
        <v>0</v>
      </c>
      <c r="AL64" s="260">
        <f>IF(AN64=21,J64,0)</f>
        <v>0</v>
      </c>
      <c r="AN64" s="260">
        <v>21</v>
      </c>
      <c r="AO64" s="260">
        <f>G64*1</f>
        <v>0</v>
      </c>
      <c r="AP64" s="260">
        <f>G64*(1-1)</f>
        <v>0</v>
      </c>
      <c r="AQ64" s="262" t="s">
        <v>69</v>
      </c>
      <c r="AV64" s="260">
        <f>AW64+AX64</f>
        <v>0</v>
      </c>
      <c r="AW64" s="260">
        <f>F64*AO64</f>
        <v>0</v>
      </c>
      <c r="AX64" s="260">
        <f>F64*AP64</f>
        <v>0</v>
      </c>
      <c r="AY64" s="262" t="s">
        <v>70</v>
      </c>
      <c r="AZ64" s="262" t="s">
        <v>71</v>
      </c>
      <c r="BA64" s="242" t="s">
        <v>57</v>
      </c>
      <c r="BC64" s="260">
        <f>AW64+AX64</f>
        <v>0</v>
      </c>
      <c r="BD64" s="260">
        <f>G64/(100-BE64)*100</f>
        <v>0</v>
      </c>
      <c r="BE64" s="260">
        <v>0</v>
      </c>
      <c r="BF64" s="260">
        <f>68</f>
        <v>68</v>
      </c>
      <c r="BH64" s="260">
        <f>F64*AO64</f>
        <v>0</v>
      </c>
      <c r="BI64" s="260">
        <f>F64*AP64</f>
        <v>0</v>
      </c>
      <c r="BJ64" s="260">
        <f>F64*G64</f>
        <v>0</v>
      </c>
      <c r="BK64" s="260"/>
      <c r="BL64" s="260">
        <v>712</v>
      </c>
      <c r="BW64" s="260">
        <v>21</v>
      </c>
      <c r="BX64" s="263" t="s">
        <v>123</v>
      </c>
    </row>
    <row r="65" spans="1:11" ht="15">
      <c r="A65" s="264"/>
      <c r="C65" s="265" t="s">
        <v>370</v>
      </c>
      <c r="D65" s="265" t="s">
        <v>49</v>
      </c>
      <c r="F65" s="266">
        <v>36.3906</v>
      </c>
      <c r="K65" s="267"/>
    </row>
    <row r="66" spans="1:76" ht="15">
      <c r="A66" s="258" t="s">
        <v>152</v>
      </c>
      <c r="B66" s="268" t="s">
        <v>100</v>
      </c>
      <c r="C66" s="232" t="s">
        <v>371</v>
      </c>
      <c r="D66" s="228"/>
      <c r="E66" s="259" t="s">
        <v>78</v>
      </c>
      <c r="F66" s="260">
        <v>1.26</v>
      </c>
      <c r="G66" s="277"/>
      <c r="H66" s="260">
        <f>F66*AO66</f>
        <v>0</v>
      </c>
      <c r="I66" s="260">
        <f>F66*AP66</f>
        <v>0</v>
      </c>
      <c r="J66" s="260">
        <f>F66*G66</f>
        <v>0</v>
      </c>
      <c r="K66" s="261" t="s">
        <v>79</v>
      </c>
      <c r="Z66" s="260">
        <f>IF(AQ66="5",BJ66,0)</f>
        <v>0</v>
      </c>
      <c r="AB66" s="260">
        <f>IF(AQ66="1",BH66,0)</f>
        <v>0</v>
      </c>
      <c r="AC66" s="260">
        <f>IF(AQ66="1",BI66,0)</f>
        <v>0</v>
      </c>
      <c r="AD66" s="260">
        <f>IF(AQ66="7",BH66,0)</f>
        <v>0</v>
      </c>
      <c r="AE66" s="260">
        <f>IF(AQ66="7",BI66,0)</f>
        <v>0</v>
      </c>
      <c r="AF66" s="260">
        <f>IF(AQ66="2",BH66,0)</f>
        <v>0</v>
      </c>
      <c r="AG66" s="260">
        <f>IF(AQ66="2",BI66,0)</f>
        <v>0</v>
      </c>
      <c r="AH66" s="260">
        <f>IF(AQ66="0",BJ66,0)</f>
        <v>0</v>
      </c>
      <c r="AI66" s="242" t="s">
        <v>49</v>
      </c>
      <c r="AJ66" s="260">
        <f>IF(AN66=0,J66,0)</f>
        <v>0</v>
      </c>
      <c r="AK66" s="260">
        <f>IF(AN66=12,J66,0)</f>
        <v>0</v>
      </c>
      <c r="AL66" s="260">
        <f>IF(AN66=21,J66,0)</f>
        <v>0</v>
      </c>
      <c r="AN66" s="260">
        <v>21</v>
      </c>
      <c r="AO66" s="260">
        <f>G66*0.105447471</f>
        <v>0</v>
      </c>
      <c r="AP66" s="260">
        <f>G66*(1-0.105447471)</f>
        <v>0</v>
      </c>
      <c r="AQ66" s="262" t="s">
        <v>69</v>
      </c>
      <c r="AV66" s="260">
        <f>AW66+AX66</f>
        <v>0</v>
      </c>
      <c r="AW66" s="260">
        <f>F66*AO66</f>
        <v>0</v>
      </c>
      <c r="AX66" s="260">
        <f>F66*AP66</f>
        <v>0</v>
      </c>
      <c r="AY66" s="262" t="s">
        <v>70</v>
      </c>
      <c r="AZ66" s="262" t="s">
        <v>71</v>
      </c>
      <c r="BA66" s="242" t="s">
        <v>57</v>
      </c>
      <c r="BC66" s="260">
        <f>AW66+AX66</f>
        <v>0</v>
      </c>
      <c r="BD66" s="260">
        <f>G66/(100-BE66)*100</f>
        <v>0</v>
      </c>
      <c r="BE66" s="260">
        <v>0</v>
      </c>
      <c r="BF66" s="260">
        <f>70</f>
        <v>70</v>
      </c>
      <c r="BH66" s="260">
        <f>F66*AO66</f>
        <v>0</v>
      </c>
      <c r="BI66" s="260">
        <f>F66*AP66</f>
        <v>0</v>
      </c>
      <c r="BJ66" s="260">
        <f>F66*G66</f>
        <v>0</v>
      </c>
      <c r="BK66" s="260"/>
      <c r="BL66" s="260">
        <v>712</v>
      </c>
      <c r="BW66" s="260">
        <v>21</v>
      </c>
      <c r="BX66" s="263" t="s">
        <v>371</v>
      </c>
    </row>
    <row r="67" spans="1:11" ht="15">
      <c r="A67" s="264"/>
      <c r="C67" s="265" t="s">
        <v>372</v>
      </c>
      <c r="D67" s="265" t="s">
        <v>49</v>
      </c>
      <c r="F67" s="266">
        <v>1.26</v>
      </c>
      <c r="K67" s="267"/>
    </row>
    <row r="68" spans="1:76" ht="15">
      <c r="A68" s="258" t="s">
        <v>154</v>
      </c>
      <c r="B68" s="268" t="s">
        <v>373</v>
      </c>
      <c r="C68" s="232" t="s">
        <v>374</v>
      </c>
      <c r="D68" s="228"/>
      <c r="E68" s="259" t="s">
        <v>78</v>
      </c>
      <c r="F68" s="260">
        <v>1.38</v>
      </c>
      <c r="G68" s="277"/>
      <c r="H68" s="260">
        <f>F68*AO68</f>
        <v>0</v>
      </c>
      <c r="I68" s="260">
        <f>F68*AP68</f>
        <v>0</v>
      </c>
      <c r="J68" s="260">
        <f>F68*G68</f>
        <v>0</v>
      </c>
      <c r="K68" s="261" t="s">
        <v>79</v>
      </c>
      <c r="Z68" s="260">
        <f>IF(AQ68="5",BJ68,0)</f>
        <v>0</v>
      </c>
      <c r="AB68" s="260">
        <f>IF(AQ68="1",BH68,0)</f>
        <v>0</v>
      </c>
      <c r="AC68" s="260">
        <f>IF(AQ68="1",BI68,0)</f>
        <v>0</v>
      </c>
      <c r="AD68" s="260">
        <f>IF(AQ68="7",BH68,0)</f>
        <v>0</v>
      </c>
      <c r="AE68" s="260">
        <f>IF(AQ68="7",BI68,0)</f>
        <v>0</v>
      </c>
      <c r="AF68" s="260">
        <f>IF(AQ68="2",BH68,0)</f>
        <v>0</v>
      </c>
      <c r="AG68" s="260">
        <f>IF(AQ68="2",BI68,0)</f>
        <v>0</v>
      </c>
      <c r="AH68" s="260">
        <f>IF(AQ68="0",BJ68,0)</f>
        <v>0</v>
      </c>
      <c r="AI68" s="242" t="s">
        <v>49</v>
      </c>
      <c r="AJ68" s="260">
        <f>IF(AN68=0,J68,0)</f>
        <v>0</v>
      </c>
      <c r="AK68" s="260">
        <f>IF(AN68=12,J68,0)</f>
        <v>0</v>
      </c>
      <c r="AL68" s="260">
        <f>IF(AN68=21,J68,0)</f>
        <v>0</v>
      </c>
      <c r="AN68" s="260">
        <v>21</v>
      </c>
      <c r="AO68" s="260">
        <f>G68*1</f>
        <v>0</v>
      </c>
      <c r="AP68" s="260">
        <f>G68*(1-1)</f>
        <v>0</v>
      </c>
      <c r="AQ68" s="262" t="s">
        <v>69</v>
      </c>
      <c r="AV68" s="260">
        <f>AW68+AX68</f>
        <v>0</v>
      </c>
      <c r="AW68" s="260">
        <f>F68*AO68</f>
        <v>0</v>
      </c>
      <c r="AX68" s="260">
        <f>F68*AP68</f>
        <v>0</v>
      </c>
      <c r="AY68" s="262" t="s">
        <v>70</v>
      </c>
      <c r="AZ68" s="262" t="s">
        <v>71</v>
      </c>
      <c r="BA68" s="242" t="s">
        <v>57</v>
      </c>
      <c r="BC68" s="260">
        <f>AW68+AX68</f>
        <v>0</v>
      </c>
      <c r="BD68" s="260">
        <f>G68/(100-BE68)*100</f>
        <v>0</v>
      </c>
      <c r="BE68" s="260">
        <v>0</v>
      </c>
      <c r="BF68" s="260">
        <f>72</f>
        <v>72</v>
      </c>
      <c r="BH68" s="260">
        <f>F68*AO68</f>
        <v>0</v>
      </c>
      <c r="BI68" s="260">
        <f>F68*AP68</f>
        <v>0</v>
      </c>
      <c r="BJ68" s="260">
        <f>F68*G68</f>
        <v>0</v>
      </c>
      <c r="BK68" s="260"/>
      <c r="BL68" s="260">
        <v>712</v>
      </c>
      <c r="BW68" s="260">
        <v>21</v>
      </c>
      <c r="BX68" s="263" t="s">
        <v>374</v>
      </c>
    </row>
    <row r="69" spans="1:11" ht="15">
      <c r="A69" s="264"/>
      <c r="C69" s="265" t="s">
        <v>375</v>
      </c>
      <c r="D69" s="265" t="s">
        <v>49</v>
      </c>
      <c r="F69" s="266">
        <v>1.38</v>
      </c>
      <c r="K69" s="267"/>
    </row>
    <row r="70" spans="1:47" ht="15">
      <c r="A70" s="252" t="s">
        <v>49</v>
      </c>
      <c r="B70" s="253" t="s">
        <v>159</v>
      </c>
      <c r="C70" s="254" t="s">
        <v>160</v>
      </c>
      <c r="D70" s="255"/>
      <c r="E70" s="256" t="s">
        <v>3</v>
      </c>
      <c r="F70" s="256" t="s">
        <v>3</v>
      </c>
      <c r="G70" s="256" t="s">
        <v>3</v>
      </c>
      <c r="H70" s="221">
        <f>SUM(H71:H91)</f>
        <v>0</v>
      </c>
      <c r="I70" s="221">
        <f>SUM(I71:I91)</f>
        <v>0</v>
      </c>
      <c r="J70" s="221">
        <f>SUM(J71:J91)</f>
        <v>0</v>
      </c>
      <c r="K70" s="257" t="s">
        <v>49</v>
      </c>
      <c r="AI70" s="242" t="s">
        <v>49</v>
      </c>
      <c r="AS70" s="221">
        <f>SUM(AJ71:AJ91)</f>
        <v>0</v>
      </c>
      <c r="AT70" s="221">
        <f>SUM(AK71:AK91)</f>
        <v>0</v>
      </c>
      <c r="AU70" s="221">
        <f>SUM(AL71:AL91)</f>
        <v>0</v>
      </c>
    </row>
    <row r="71" spans="1:76" ht="15">
      <c r="A71" s="258" t="s">
        <v>156</v>
      </c>
      <c r="B71" s="259" t="s">
        <v>162</v>
      </c>
      <c r="C71" s="232" t="s">
        <v>163</v>
      </c>
      <c r="D71" s="228"/>
      <c r="E71" s="259" t="s">
        <v>78</v>
      </c>
      <c r="F71" s="260">
        <v>32.34</v>
      </c>
      <c r="G71" s="277"/>
      <c r="H71" s="260">
        <f>F71*AO71</f>
        <v>0</v>
      </c>
      <c r="I71" s="260">
        <f>F71*AP71</f>
        <v>0</v>
      </c>
      <c r="J71" s="260">
        <f>F71*G71</f>
        <v>0</v>
      </c>
      <c r="K71" s="261" t="s">
        <v>79</v>
      </c>
      <c r="Z71" s="260">
        <f>IF(AQ71="5",BJ71,0)</f>
        <v>0</v>
      </c>
      <c r="AB71" s="260">
        <f>IF(AQ71="1",BH71,0)</f>
        <v>0</v>
      </c>
      <c r="AC71" s="260">
        <f>IF(AQ71="1",BI71,0)</f>
        <v>0</v>
      </c>
      <c r="AD71" s="260">
        <f>IF(AQ71="7",BH71,0)</f>
        <v>0</v>
      </c>
      <c r="AE71" s="260">
        <f>IF(AQ71="7",BI71,0)</f>
        <v>0</v>
      </c>
      <c r="AF71" s="260">
        <f>IF(AQ71="2",BH71,0)</f>
        <v>0</v>
      </c>
      <c r="AG71" s="260">
        <f>IF(AQ71="2",BI71,0)</f>
        <v>0</v>
      </c>
      <c r="AH71" s="260">
        <f>IF(AQ71="0",BJ71,0)</f>
        <v>0</v>
      </c>
      <c r="AI71" s="242" t="s">
        <v>49</v>
      </c>
      <c r="AJ71" s="260">
        <f>IF(AN71=0,J71,0)</f>
        <v>0</v>
      </c>
      <c r="AK71" s="260">
        <f>IF(AN71=12,J71,0)</f>
        <v>0</v>
      </c>
      <c r="AL71" s="260">
        <f>IF(AN71=21,J71,0)</f>
        <v>0</v>
      </c>
      <c r="AN71" s="260">
        <v>21</v>
      </c>
      <c r="AO71" s="260">
        <f>G71*0</f>
        <v>0</v>
      </c>
      <c r="AP71" s="260">
        <f>G71*(1-0)</f>
        <v>0</v>
      </c>
      <c r="AQ71" s="262" t="s">
        <v>69</v>
      </c>
      <c r="AV71" s="260">
        <f>AW71+AX71</f>
        <v>0</v>
      </c>
      <c r="AW71" s="260">
        <f>F71*AO71</f>
        <v>0</v>
      </c>
      <c r="AX71" s="260">
        <f>F71*AP71</f>
        <v>0</v>
      </c>
      <c r="AY71" s="262" t="s">
        <v>164</v>
      </c>
      <c r="AZ71" s="262" t="s">
        <v>71</v>
      </c>
      <c r="BA71" s="242" t="s">
        <v>57</v>
      </c>
      <c r="BC71" s="260">
        <f>AW71+AX71</f>
        <v>0</v>
      </c>
      <c r="BD71" s="260">
        <f>G71/(100-BE71)*100</f>
        <v>0</v>
      </c>
      <c r="BE71" s="260">
        <v>0</v>
      </c>
      <c r="BF71" s="260">
        <f>75</f>
        <v>75</v>
      </c>
      <c r="BH71" s="260">
        <f>F71*AO71</f>
        <v>0</v>
      </c>
      <c r="BI71" s="260">
        <f>F71*AP71</f>
        <v>0</v>
      </c>
      <c r="BJ71" s="260">
        <f>F71*G71</f>
        <v>0</v>
      </c>
      <c r="BK71" s="260"/>
      <c r="BL71" s="260">
        <v>713</v>
      </c>
      <c r="BW71" s="260">
        <v>21</v>
      </c>
      <c r="BX71" s="263" t="s">
        <v>163</v>
      </c>
    </row>
    <row r="72" spans="1:11" ht="15">
      <c r="A72" s="264"/>
      <c r="C72" s="265" t="s">
        <v>376</v>
      </c>
      <c r="D72" s="265" t="s">
        <v>49</v>
      </c>
      <c r="F72" s="266">
        <v>32.34</v>
      </c>
      <c r="K72" s="267"/>
    </row>
    <row r="73" spans="1:76" ht="15">
      <c r="A73" s="258" t="s">
        <v>157</v>
      </c>
      <c r="B73" s="259" t="s">
        <v>167</v>
      </c>
      <c r="C73" s="232" t="s">
        <v>168</v>
      </c>
      <c r="D73" s="228"/>
      <c r="E73" s="259" t="s">
        <v>169</v>
      </c>
      <c r="F73" s="260">
        <v>5.09355</v>
      </c>
      <c r="G73" s="277"/>
      <c r="H73" s="260">
        <f>F73*AO73</f>
        <v>0</v>
      </c>
      <c r="I73" s="260">
        <f>F73*AP73</f>
        <v>0</v>
      </c>
      <c r="J73" s="260">
        <f>F73*G73</f>
        <v>0</v>
      </c>
      <c r="K73" s="261" t="s">
        <v>79</v>
      </c>
      <c r="Z73" s="260">
        <f>IF(AQ73="5",BJ73,0)</f>
        <v>0</v>
      </c>
      <c r="AB73" s="260">
        <f>IF(AQ73="1",BH73,0)</f>
        <v>0</v>
      </c>
      <c r="AC73" s="260">
        <f>IF(AQ73="1",BI73,0)</f>
        <v>0</v>
      </c>
      <c r="AD73" s="260">
        <f>IF(AQ73="7",BH73,0)</f>
        <v>0</v>
      </c>
      <c r="AE73" s="260">
        <f>IF(AQ73="7",BI73,0)</f>
        <v>0</v>
      </c>
      <c r="AF73" s="260">
        <f>IF(AQ73="2",BH73,0)</f>
        <v>0</v>
      </c>
      <c r="AG73" s="260">
        <f>IF(AQ73="2",BI73,0)</f>
        <v>0</v>
      </c>
      <c r="AH73" s="260">
        <f>IF(AQ73="0",BJ73,0)</f>
        <v>0</v>
      </c>
      <c r="AI73" s="242" t="s">
        <v>49</v>
      </c>
      <c r="AJ73" s="260">
        <f>IF(AN73=0,J73,0)</f>
        <v>0</v>
      </c>
      <c r="AK73" s="260">
        <f>IF(AN73=12,J73,0)</f>
        <v>0</v>
      </c>
      <c r="AL73" s="260">
        <f>IF(AN73=21,J73,0)</f>
        <v>0</v>
      </c>
      <c r="AN73" s="260">
        <v>21</v>
      </c>
      <c r="AO73" s="260">
        <f>G73*1</f>
        <v>0</v>
      </c>
      <c r="AP73" s="260">
        <f>G73*(1-1)</f>
        <v>0</v>
      </c>
      <c r="AQ73" s="262" t="s">
        <v>69</v>
      </c>
      <c r="AV73" s="260">
        <f>AW73+AX73</f>
        <v>0</v>
      </c>
      <c r="AW73" s="260">
        <f>F73*AO73</f>
        <v>0</v>
      </c>
      <c r="AX73" s="260">
        <f>F73*AP73</f>
        <v>0</v>
      </c>
      <c r="AY73" s="262" t="s">
        <v>164</v>
      </c>
      <c r="AZ73" s="262" t="s">
        <v>71</v>
      </c>
      <c r="BA73" s="242" t="s">
        <v>57</v>
      </c>
      <c r="BC73" s="260">
        <f>AW73+AX73</f>
        <v>0</v>
      </c>
      <c r="BD73" s="260">
        <f>G73/(100-BE73)*100</f>
        <v>0</v>
      </c>
      <c r="BE73" s="260">
        <v>0</v>
      </c>
      <c r="BF73" s="260">
        <f>77</f>
        <v>77</v>
      </c>
      <c r="BH73" s="260">
        <f>F73*AO73</f>
        <v>0</v>
      </c>
      <c r="BI73" s="260">
        <f>F73*AP73</f>
        <v>0</v>
      </c>
      <c r="BJ73" s="260">
        <f>F73*G73</f>
        <v>0</v>
      </c>
      <c r="BK73" s="260"/>
      <c r="BL73" s="260">
        <v>713</v>
      </c>
      <c r="BW73" s="260">
        <v>21</v>
      </c>
      <c r="BX73" s="263" t="s">
        <v>168</v>
      </c>
    </row>
    <row r="74" spans="1:11" ht="15">
      <c r="A74" s="264"/>
      <c r="C74" s="265" t="s">
        <v>377</v>
      </c>
      <c r="D74" s="265" t="s">
        <v>49</v>
      </c>
      <c r="F74" s="266">
        <v>4.851</v>
      </c>
      <c r="K74" s="267"/>
    </row>
    <row r="75" spans="1:11" ht="15">
      <c r="A75" s="264"/>
      <c r="C75" s="265" t="s">
        <v>378</v>
      </c>
      <c r="D75" s="265" t="s">
        <v>49</v>
      </c>
      <c r="F75" s="266">
        <v>0.24255</v>
      </c>
      <c r="K75" s="267"/>
    </row>
    <row r="76" spans="1:76" ht="15">
      <c r="A76" s="258" t="s">
        <v>158</v>
      </c>
      <c r="B76" s="259" t="s">
        <v>173</v>
      </c>
      <c r="C76" s="232" t="s">
        <v>174</v>
      </c>
      <c r="D76" s="228"/>
      <c r="E76" s="259" t="s">
        <v>78</v>
      </c>
      <c r="F76" s="260">
        <v>31.644</v>
      </c>
      <c r="G76" s="277"/>
      <c r="H76" s="260">
        <f>F76*AO76</f>
        <v>0</v>
      </c>
      <c r="I76" s="260">
        <f>F76*AP76</f>
        <v>0</v>
      </c>
      <c r="J76" s="260">
        <f>F76*G76</f>
        <v>0</v>
      </c>
      <c r="K76" s="261" t="s">
        <v>79</v>
      </c>
      <c r="Z76" s="260">
        <f>IF(AQ76="5",BJ76,0)</f>
        <v>0</v>
      </c>
      <c r="AB76" s="260">
        <f>IF(AQ76="1",BH76,0)</f>
        <v>0</v>
      </c>
      <c r="AC76" s="260">
        <f>IF(AQ76="1",BI76,0)</f>
        <v>0</v>
      </c>
      <c r="AD76" s="260">
        <f>IF(AQ76="7",BH76,0)</f>
        <v>0</v>
      </c>
      <c r="AE76" s="260">
        <f>IF(AQ76="7",BI76,0)</f>
        <v>0</v>
      </c>
      <c r="AF76" s="260">
        <f>IF(AQ76="2",BH76,0)</f>
        <v>0</v>
      </c>
      <c r="AG76" s="260">
        <f>IF(AQ76="2",BI76,0)</f>
        <v>0</v>
      </c>
      <c r="AH76" s="260">
        <f>IF(AQ76="0",BJ76,0)</f>
        <v>0</v>
      </c>
      <c r="AI76" s="242" t="s">
        <v>49</v>
      </c>
      <c r="AJ76" s="260">
        <f>IF(AN76=0,J76,0)</f>
        <v>0</v>
      </c>
      <c r="AK76" s="260">
        <f>IF(AN76=12,J76,0)</f>
        <v>0</v>
      </c>
      <c r="AL76" s="260">
        <f>IF(AN76=21,J76,0)</f>
        <v>0</v>
      </c>
      <c r="AN76" s="260">
        <v>21</v>
      </c>
      <c r="AO76" s="260">
        <f>G76*0.467368528</f>
        <v>0</v>
      </c>
      <c r="AP76" s="260">
        <f>G76*(1-0.467368528)</f>
        <v>0</v>
      </c>
      <c r="AQ76" s="262" t="s">
        <v>69</v>
      </c>
      <c r="AV76" s="260">
        <f>AW76+AX76</f>
        <v>0</v>
      </c>
      <c r="AW76" s="260">
        <f>F76*AO76</f>
        <v>0</v>
      </c>
      <c r="AX76" s="260">
        <f>F76*AP76</f>
        <v>0</v>
      </c>
      <c r="AY76" s="262" t="s">
        <v>164</v>
      </c>
      <c r="AZ76" s="262" t="s">
        <v>71</v>
      </c>
      <c r="BA76" s="242" t="s">
        <v>57</v>
      </c>
      <c r="BC76" s="260">
        <f>AW76+AX76</f>
        <v>0</v>
      </c>
      <c r="BD76" s="260">
        <f>G76/(100-BE76)*100</f>
        <v>0</v>
      </c>
      <c r="BE76" s="260">
        <v>0</v>
      </c>
      <c r="BF76" s="260">
        <f>80</f>
        <v>80</v>
      </c>
      <c r="BH76" s="260">
        <f>F76*AO76</f>
        <v>0</v>
      </c>
      <c r="BI76" s="260">
        <f>F76*AP76</f>
        <v>0</v>
      </c>
      <c r="BJ76" s="260">
        <f>F76*G76</f>
        <v>0</v>
      </c>
      <c r="BK76" s="260"/>
      <c r="BL76" s="260">
        <v>713</v>
      </c>
      <c r="BW76" s="260">
        <v>21</v>
      </c>
      <c r="BX76" s="263" t="s">
        <v>174</v>
      </c>
    </row>
    <row r="77" spans="1:11" ht="15">
      <c r="A77" s="264"/>
      <c r="C77" s="265" t="s">
        <v>369</v>
      </c>
      <c r="D77" s="265" t="s">
        <v>49</v>
      </c>
      <c r="F77" s="266">
        <v>31.644</v>
      </c>
      <c r="K77" s="267"/>
    </row>
    <row r="78" spans="1:76" ht="15">
      <c r="A78" s="258" t="s">
        <v>161</v>
      </c>
      <c r="B78" s="259" t="s">
        <v>167</v>
      </c>
      <c r="C78" s="232" t="s">
        <v>168</v>
      </c>
      <c r="D78" s="228"/>
      <c r="E78" s="259" t="s">
        <v>169</v>
      </c>
      <c r="F78" s="260">
        <v>2.6581</v>
      </c>
      <c r="G78" s="277"/>
      <c r="H78" s="260">
        <f>F78*AO78</f>
        <v>0</v>
      </c>
      <c r="I78" s="260">
        <f>F78*AP78</f>
        <v>0</v>
      </c>
      <c r="J78" s="260">
        <f>F78*G78</f>
        <v>0</v>
      </c>
      <c r="K78" s="261" t="s">
        <v>79</v>
      </c>
      <c r="Z78" s="260">
        <f>IF(AQ78="5",BJ78,0)</f>
        <v>0</v>
      </c>
      <c r="AB78" s="260">
        <f>IF(AQ78="1",BH78,0)</f>
        <v>0</v>
      </c>
      <c r="AC78" s="260">
        <f>IF(AQ78="1",BI78,0)</f>
        <v>0</v>
      </c>
      <c r="AD78" s="260">
        <f>IF(AQ78="7",BH78,0)</f>
        <v>0</v>
      </c>
      <c r="AE78" s="260">
        <f>IF(AQ78="7",BI78,0)</f>
        <v>0</v>
      </c>
      <c r="AF78" s="260">
        <f>IF(AQ78="2",BH78,0)</f>
        <v>0</v>
      </c>
      <c r="AG78" s="260">
        <f>IF(AQ78="2",BI78,0)</f>
        <v>0</v>
      </c>
      <c r="AH78" s="260">
        <f>IF(AQ78="0",BJ78,0)</f>
        <v>0</v>
      </c>
      <c r="AI78" s="242" t="s">
        <v>49</v>
      </c>
      <c r="AJ78" s="260">
        <f>IF(AN78=0,J78,0)</f>
        <v>0</v>
      </c>
      <c r="AK78" s="260">
        <f>IF(AN78=12,J78,0)</f>
        <v>0</v>
      </c>
      <c r="AL78" s="260">
        <f>IF(AN78=21,J78,0)</f>
        <v>0</v>
      </c>
      <c r="AN78" s="260">
        <v>21</v>
      </c>
      <c r="AO78" s="260">
        <f>G78*1</f>
        <v>0</v>
      </c>
      <c r="AP78" s="260">
        <f>G78*(1-1)</f>
        <v>0</v>
      </c>
      <c r="AQ78" s="262" t="s">
        <v>69</v>
      </c>
      <c r="AV78" s="260">
        <f>AW78+AX78</f>
        <v>0</v>
      </c>
      <c r="AW78" s="260">
        <f>F78*AO78</f>
        <v>0</v>
      </c>
      <c r="AX78" s="260">
        <f>F78*AP78</f>
        <v>0</v>
      </c>
      <c r="AY78" s="262" t="s">
        <v>164</v>
      </c>
      <c r="AZ78" s="262" t="s">
        <v>71</v>
      </c>
      <c r="BA78" s="242" t="s">
        <v>57</v>
      </c>
      <c r="BC78" s="260">
        <f>AW78+AX78</f>
        <v>0</v>
      </c>
      <c r="BD78" s="260">
        <f>G78/(100-BE78)*100</f>
        <v>0</v>
      </c>
      <c r="BE78" s="260">
        <v>0</v>
      </c>
      <c r="BF78" s="260">
        <f>82</f>
        <v>82</v>
      </c>
      <c r="BH78" s="260">
        <f>F78*AO78</f>
        <v>0</v>
      </c>
      <c r="BI78" s="260">
        <f>F78*AP78</f>
        <v>0</v>
      </c>
      <c r="BJ78" s="260">
        <f>F78*G78</f>
        <v>0</v>
      </c>
      <c r="BK78" s="260"/>
      <c r="BL78" s="260">
        <v>713</v>
      </c>
      <c r="BW78" s="260">
        <v>21</v>
      </c>
      <c r="BX78" s="263" t="s">
        <v>168</v>
      </c>
    </row>
    <row r="79" spans="1:11" ht="15">
      <c r="A79" s="264"/>
      <c r="C79" s="265" t="s">
        <v>379</v>
      </c>
      <c r="D79" s="265" t="s">
        <v>49</v>
      </c>
      <c r="F79" s="266">
        <v>2.53152</v>
      </c>
      <c r="K79" s="267"/>
    </row>
    <row r="80" spans="1:11" ht="15">
      <c r="A80" s="264"/>
      <c r="C80" s="265" t="s">
        <v>380</v>
      </c>
      <c r="D80" s="265" t="s">
        <v>49</v>
      </c>
      <c r="F80" s="266">
        <v>0.12658</v>
      </c>
      <c r="K80" s="267"/>
    </row>
    <row r="81" spans="1:76" ht="15">
      <c r="A81" s="258" t="s">
        <v>166</v>
      </c>
      <c r="B81" s="259" t="s">
        <v>185</v>
      </c>
      <c r="C81" s="232" t="s">
        <v>186</v>
      </c>
      <c r="D81" s="228"/>
      <c r="E81" s="259" t="s">
        <v>78</v>
      </c>
      <c r="F81" s="260">
        <v>548</v>
      </c>
      <c r="G81" s="277"/>
      <c r="H81" s="260">
        <f>F81*AO81</f>
        <v>0</v>
      </c>
      <c r="I81" s="260">
        <f>F81*AP81</f>
        <v>0</v>
      </c>
      <c r="J81" s="260">
        <f>F81*G81</f>
        <v>0</v>
      </c>
      <c r="K81" s="261" t="s">
        <v>79</v>
      </c>
      <c r="Z81" s="260">
        <f>IF(AQ81="5",BJ81,0)</f>
        <v>0</v>
      </c>
      <c r="AB81" s="260">
        <f>IF(AQ81="1",BH81,0)</f>
        <v>0</v>
      </c>
      <c r="AC81" s="260">
        <f>IF(AQ81="1",BI81,0)</f>
        <v>0</v>
      </c>
      <c r="AD81" s="260">
        <f>IF(AQ81="7",BH81,0)</f>
        <v>0</v>
      </c>
      <c r="AE81" s="260">
        <f>IF(AQ81="7",BI81,0)</f>
        <v>0</v>
      </c>
      <c r="AF81" s="260">
        <f>IF(AQ81="2",BH81,0)</f>
        <v>0</v>
      </c>
      <c r="AG81" s="260">
        <f>IF(AQ81="2",BI81,0)</f>
        <v>0</v>
      </c>
      <c r="AH81" s="260">
        <f>IF(AQ81="0",BJ81,0)</f>
        <v>0</v>
      </c>
      <c r="AI81" s="242" t="s">
        <v>49</v>
      </c>
      <c r="AJ81" s="260">
        <f>IF(AN81=0,J81,0)</f>
        <v>0</v>
      </c>
      <c r="AK81" s="260">
        <f>IF(AN81=12,J81,0)</f>
        <v>0</v>
      </c>
      <c r="AL81" s="260">
        <f>IF(AN81=21,J81,0)</f>
        <v>0</v>
      </c>
      <c r="AN81" s="260">
        <v>21</v>
      </c>
      <c r="AO81" s="260">
        <f>G81*0.415548387</f>
        <v>0</v>
      </c>
      <c r="AP81" s="260">
        <f>G81*(1-0.415548387)</f>
        <v>0</v>
      </c>
      <c r="AQ81" s="262" t="s">
        <v>69</v>
      </c>
      <c r="AV81" s="260">
        <f>AW81+AX81</f>
        <v>0</v>
      </c>
      <c r="AW81" s="260">
        <f>F81*AO81</f>
        <v>0</v>
      </c>
      <c r="AX81" s="260">
        <f>F81*AP81</f>
        <v>0</v>
      </c>
      <c r="AY81" s="262" t="s">
        <v>164</v>
      </c>
      <c r="AZ81" s="262" t="s">
        <v>71</v>
      </c>
      <c r="BA81" s="242" t="s">
        <v>57</v>
      </c>
      <c r="BC81" s="260">
        <f>AW81+AX81</f>
        <v>0</v>
      </c>
      <c r="BD81" s="260">
        <f>G81/(100-BE81)*100</f>
        <v>0</v>
      </c>
      <c r="BE81" s="260">
        <v>0</v>
      </c>
      <c r="BF81" s="260">
        <f>85</f>
        <v>85</v>
      </c>
      <c r="BH81" s="260">
        <f>F81*AO81</f>
        <v>0</v>
      </c>
      <c r="BI81" s="260">
        <f>F81*AP81</f>
        <v>0</v>
      </c>
      <c r="BJ81" s="260">
        <f>F81*G81</f>
        <v>0</v>
      </c>
      <c r="BK81" s="260"/>
      <c r="BL81" s="260">
        <v>713</v>
      </c>
      <c r="BW81" s="260">
        <v>21</v>
      </c>
      <c r="BX81" s="263" t="s">
        <v>186</v>
      </c>
    </row>
    <row r="82" spans="1:11" ht="15">
      <c r="A82" s="264"/>
      <c r="C82" s="265" t="s">
        <v>365</v>
      </c>
      <c r="D82" s="265" t="s">
        <v>49</v>
      </c>
      <c r="F82" s="266">
        <v>548</v>
      </c>
      <c r="K82" s="267"/>
    </row>
    <row r="83" spans="1:76" ht="15">
      <c r="A83" s="258" t="s">
        <v>172</v>
      </c>
      <c r="B83" s="259" t="s">
        <v>167</v>
      </c>
      <c r="C83" s="232" t="s">
        <v>168</v>
      </c>
      <c r="D83" s="228"/>
      <c r="E83" s="259" t="s">
        <v>169</v>
      </c>
      <c r="F83" s="260">
        <v>80.556</v>
      </c>
      <c r="G83" s="277"/>
      <c r="H83" s="260">
        <f>F83*AO83</f>
        <v>0</v>
      </c>
      <c r="I83" s="260">
        <f>F83*AP83</f>
        <v>0</v>
      </c>
      <c r="J83" s="260">
        <f>F83*G83</f>
        <v>0</v>
      </c>
      <c r="K83" s="261" t="s">
        <v>79</v>
      </c>
      <c r="Z83" s="260">
        <f>IF(AQ83="5",BJ83,0)</f>
        <v>0</v>
      </c>
      <c r="AB83" s="260">
        <f>IF(AQ83="1",BH83,0)</f>
        <v>0</v>
      </c>
      <c r="AC83" s="260">
        <f>IF(AQ83="1",BI83,0)</f>
        <v>0</v>
      </c>
      <c r="AD83" s="260">
        <f>IF(AQ83="7",BH83,0)</f>
        <v>0</v>
      </c>
      <c r="AE83" s="260">
        <f>IF(AQ83="7",BI83,0)</f>
        <v>0</v>
      </c>
      <c r="AF83" s="260">
        <f>IF(AQ83="2",BH83,0)</f>
        <v>0</v>
      </c>
      <c r="AG83" s="260">
        <f>IF(AQ83="2",BI83,0)</f>
        <v>0</v>
      </c>
      <c r="AH83" s="260">
        <f>IF(AQ83="0",BJ83,0)</f>
        <v>0</v>
      </c>
      <c r="AI83" s="242" t="s">
        <v>49</v>
      </c>
      <c r="AJ83" s="260">
        <f>IF(AN83=0,J83,0)</f>
        <v>0</v>
      </c>
      <c r="AK83" s="260">
        <f>IF(AN83=12,J83,0)</f>
        <v>0</v>
      </c>
      <c r="AL83" s="260">
        <f>IF(AN83=21,J83,0)</f>
        <v>0</v>
      </c>
      <c r="AN83" s="260">
        <v>21</v>
      </c>
      <c r="AO83" s="260">
        <f>G83*1</f>
        <v>0</v>
      </c>
      <c r="AP83" s="260">
        <f>G83*(1-1)</f>
        <v>0</v>
      </c>
      <c r="AQ83" s="262" t="s">
        <v>69</v>
      </c>
      <c r="AV83" s="260">
        <f>AW83+AX83</f>
        <v>0</v>
      </c>
      <c r="AW83" s="260">
        <f>F83*AO83</f>
        <v>0</v>
      </c>
      <c r="AX83" s="260">
        <f>F83*AP83</f>
        <v>0</v>
      </c>
      <c r="AY83" s="262" t="s">
        <v>164</v>
      </c>
      <c r="AZ83" s="262" t="s">
        <v>71</v>
      </c>
      <c r="BA83" s="242" t="s">
        <v>57</v>
      </c>
      <c r="BC83" s="260">
        <f>AW83+AX83</f>
        <v>0</v>
      </c>
      <c r="BD83" s="260">
        <f>G83/(100-BE83)*100</f>
        <v>0</v>
      </c>
      <c r="BE83" s="260">
        <v>0</v>
      </c>
      <c r="BF83" s="260">
        <f>87</f>
        <v>87</v>
      </c>
      <c r="BH83" s="260">
        <f>F83*AO83</f>
        <v>0</v>
      </c>
      <c r="BI83" s="260">
        <f>F83*AP83</f>
        <v>0</v>
      </c>
      <c r="BJ83" s="260">
        <f>F83*G83</f>
        <v>0</v>
      </c>
      <c r="BK83" s="260"/>
      <c r="BL83" s="260">
        <v>713</v>
      </c>
      <c r="BW83" s="260">
        <v>21</v>
      </c>
      <c r="BX83" s="263" t="s">
        <v>168</v>
      </c>
    </row>
    <row r="84" spans="1:11" ht="15">
      <c r="A84" s="264"/>
      <c r="C84" s="265" t="s">
        <v>381</v>
      </c>
      <c r="D84" s="265" t="s">
        <v>49</v>
      </c>
      <c r="F84" s="266">
        <v>76.72</v>
      </c>
      <c r="K84" s="267"/>
    </row>
    <row r="85" spans="1:11" ht="15">
      <c r="A85" s="264"/>
      <c r="C85" s="265" t="s">
        <v>382</v>
      </c>
      <c r="D85" s="265" t="s">
        <v>49</v>
      </c>
      <c r="F85" s="266">
        <v>3.836</v>
      </c>
      <c r="K85" s="267"/>
    </row>
    <row r="86" spans="1:76" ht="15">
      <c r="A86" s="258" t="s">
        <v>175</v>
      </c>
      <c r="B86" s="259" t="s">
        <v>192</v>
      </c>
      <c r="C86" s="232" t="s">
        <v>193</v>
      </c>
      <c r="D86" s="228"/>
      <c r="E86" s="259" t="s">
        <v>78</v>
      </c>
      <c r="F86" s="260">
        <v>2.1</v>
      </c>
      <c r="G86" s="277"/>
      <c r="H86" s="260">
        <f>F86*AO86</f>
        <v>0</v>
      </c>
      <c r="I86" s="260">
        <f>F86*AP86</f>
        <v>0</v>
      </c>
      <c r="J86" s="260">
        <f>F86*G86</f>
        <v>0</v>
      </c>
      <c r="K86" s="261" t="s">
        <v>79</v>
      </c>
      <c r="Z86" s="260">
        <f>IF(AQ86="5",BJ86,0)</f>
        <v>0</v>
      </c>
      <c r="AB86" s="260">
        <f>IF(AQ86="1",BH86,0)</f>
        <v>0</v>
      </c>
      <c r="AC86" s="260">
        <f>IF(AQ86="1",BI86,0)</f>
        <v>0</v>
      </c>
      <c r="AD86" s="260">
        <f>IF(AQ86="7",BH86,0)</f>
        <v>0</v>
      </c>
      <c r="AE86" s="260">
        <f>IF(AQ86="7",BI86,0)</f>
        <v>0</v>
      </c>
      <c r="AF86" s="260">
        <f>IF(AQ86="2",BH86,0)</f>
        <v>0</v>
      </c>
      <c r="AG86" s="260">
        <f>IF(AQ86="2",BI86,0)</f>
        <v>0</v>
      </c>
      <c r="AH86" s="260">
        <f>IF(AQ86="0",BJ86,0)</f>
        <v>0</v>
      </c>
      <c r="AI86" s="242" t="s">
        <v>49</v>
      </c>
      <c r="AJ86" s="260">
        <f>IF(AN86=0,J86,0)</f>
        <v>0</v>
      </c>
      <c r="AK86" s="260">
        <f>IF(AN86=12,J86,0)</f>
        <v>0</v>
      </c>
      <c r="AL86" s="260">
        <f>IF(AN86=21,J86,0)</f>
        <v>0</v>
      </c>
      <c r="AN86" s="260">
        <v>21</v>
      </c>
      <c r="AO86" s="260">
        <f>G86*1</f>
        <v>0</v>
      </c>
      <c r="AP86" s="260">
        <f>G86*(1-1)</f>
        <v>0</v>
      </c>
      <c r="AQ86" s="262" t="s">
        <v>69</v>
      </c>
      <c r="AV86" s="260">
        <f>AW86+AX86</f>
        <v>0</v>
      </c>
      <c r="AW86" s="260">
        <f>F86*AO86</f>
        <v>0</v>
      </c>
      <c r="AX86" s="260">
        <f>F86*AP86</f>
        <v>0</v>
      </c>
      <c r="AY86" s="262" t="s">
        <v>164</v>
      </c>
      <c r="AZ86" s="262" t="s">
        <v>71</v>
      </c>
      <c r="BA86" s="242" t="s">
        <v>57</v>
      </c>
      <c r="BC86" s="260">
        <f>AW86+AX86</f>
        <v>0</v>
      </c>
      <c r="BD86" s="260">
        <f>G86/(100-BE86)*100</f>
        <v>0</v>
      </c>
      <c r="BE86" s="260">
        <v>0</v>
      </c>
      <c r="BF86" s="260">
        <f>90</f>
        <v>90</v>
      </c>
      <c r="BH86" s="260">
        <f>F86*AO86</f>
        <v>0</v>
      </c>
      <c r="BI86" s="260">
        <f>F86*AP86</f>
        <v>0</v>
      </c>
      <c r="BJ86" s="260">
        <f>F86*G86</f>
        <v>0</v>
      </c>
      <c r="BK86" s="260"/>
      <c r="BL86" s="260">
        <v>713</v>
      </c>
      <c r="BW86" s="260">
        <v>21</v>
      </c>
      <c r="BX86" s="263" t="s">
        <v>193</v>
      </c>
    </row>
    <row r="87" spans="1:11" ht="15">
      <c r="A87" s="264"/>
      <c r="C87" s="265" t="s">
        <v>194</v>
      </c>
      <c r="D87" s="265" t="s">
        <v>49</v>
      </c>
      <c r="F87" s="266">
        <v>2</v>
      </c>
      <c r="K87" s="267"/>
    </row>
    <row r="88" spans="1:11" ht="15">
      <c r="A88" s="264"/>
      <c r="C88" s="265" t="s">
        <v>195</v>
      </c>
      <c r="D88" s="265" t="s">
        <v>49</v>
      </c>
      <c r="F88" s="266">
        <v>0.1</v>
      </c>
      <c r="K88" s="267"/>
    </row>
    <row r="89" spans="1:76" ht="15">
      <c r="A89" s="258" t="s">
        <v>178</v>
      </c>
      <c r="B89" s="259" t="s">
        <v>173</v>
      </c>
      <c r="C89" s="232" t="s">
        <v>197</v>
      </c>
      <c r="D89" s="228"/>
      <c r="E89" s="259" t="s">
        <v>78</v>
      </c>
      <c r="F89" s="260">
        <v>5.274</v>
      </c>
      <c r="G89" s="277"/>
      <c r="H89" s="260">
        <f>F89*AO89</f>
        <v>0</v>
      </c>
      <c r="I89" s="260">
        <f>F89*AP89</f>
        <v>0</v>
      </c>
      <c r="J89" s="260">
        <f>F89*G89</f>
        <v>0</v>
      </c>
      <c r="K89" s="261" t="s">
        <v>79</v>
      </c>
      <c r="Z89" s="260">
        <f>IF(AQ89="5",BJ89,0)</f>
        <v>0</v>
      </c>
      <c r="AB89" s="260">
        <f>IF(AQ89="1",BH89,0)</f>
        <v>0</v>
      </c>
      <c r="AC89" s="260">
        <f>IF(AQ89="1",BI89,0)</f>
        <v>0</v>
      </c>
      <c r="AD89" s="260">
        <f>IF(AQ89="7",BH89,0)</f>
        <v>0</v>
      </c>
      <c r="AE89" s="260">
        <f>IF(AQ89="7",BI89,0)</f>
        <v>0</v>
      </c>
      <c r="AF89" s="260">
        <f>IF(AQ89="2",BH89,0)</f>
        <v>0</v>
      </c>
      <c r="AG89" s="260">
        <f>IF(AQ89="2",BI89,0)</f>
        <v>0</v>
      </c>
      <c r="AH89" s="260">
        <f>IF(AQ89="0",BJ89,0)</f>
        <v>0</v>
      </c>
      <c r="AI89" s="242" t="s">
        <v>49</v>
      </c>
      <c r="AJ89" s="260">
        <f>IF(AN89=0,J89,0)</f>
        <v>0</v>
      </c>
      <c r="AK89" s="260">
        <f>IF(AN89=12,J89,0)</f>
        <v>0</v>
      </c>
      <c r="AL89" s="260">
        <f>IF(AN89=21,J89,0)</f>
        <v>0</v>
      </c>
      <c r="AN89" s="260">
        <v>21</v>
      </c>
      <c r="AO89" s="260">
        <f>G89*0.467367456</f>
        <v>0</v>
      </c>
      <c r="AP89" s="260">
        <f>G89*(1-0.467367456)</f>
        <v>0</v>
      </c>
      <c r="AQ89" s="262" t="s">
        <v>69</v>
      </c>
      <c r="AV89" s="260">
        <f>AW89+AX89</f>
        <v>0</v>
      </c>
      <c r="AW89" s="260">
        <f>F89*AO89</f>
        <v>0</v>
      </c>
      <c r="AX89" s="260">
        <f>F89*AP89</f>
        <v>0</v>
      </c>
      <c r="AY89" s="262" t="s">
        <v>164</v>
      </c>
      <c r="AZ89" s="262" t="s">
        <v>71</v>
      </c>
      <c r="BA89" s="242" t="s">
        <v>57</v>
      </c>
      <c r="BC89" s="260">
        <f>AW89+AX89</f>
        <v>0</v>
      </c>
      <c r="BD89" s="260">
        <f>G89/(100-BE89)*100</f>
        <v>0</v>
      </c>
      <c r="BE89" s="260">
        <v>0</v>
      </c>
      <c r="BF89" s="260">
        <f>93</f>
        <v>93</v>
      </c>
      <c r="BH89" s="260">
        <f>F89*AO89</f>
        <v>0</v>
      </c>
      <c r="BI89" s="260">
        <f>F89*AP89</f>
        <v>0</v>
      </c>
      <c r="BJ89" s="260">
        <f>F89*G89</f>
        <v>0</v>
      </c>
      <c r="BK89" s="260"/>
      <c r="BL89" s="260">
        <v>713</v>
      </c>
      <c r="BW89" s="260">
        <v>21</v>
      </c>
      <c r="BX89" s="263" t="s">
        <v>197</v>
      </c>
    </row>
    <row r="90" spans="1:11" ht="15">
      <c r="A90" s="264"/>
      <c r="C90" s="265" t="s">
        <v>383</v>
      </c>
      <c r="D90" s="265" t="s">
        <v>49</v>
      </c>
      <c r="F90" s="266">
        <v>5.274</v>
      </c>
      <c r="K90" s="267"/>
    </row>
    <row r="91" spans="1:76" ht="15">
      <c r="A91" s="258" t="s">
        <v>181</v>
      </c>
      <c r="B91" s="259" t="s">
        <v>200</v>
      </c>
      <c r="C91" s="232" t="s">
        <v>201</v>
      </c>
      <c r="D91" s="228"/>
      <c r="E91" s="259" t="s">
        <v>78</v>
      </c>
      <c r="F91" s="260">
        <v>5.5377</v>
      </c>
      <c r="G91" s="277"/>
      <c r="H91" s="260">
        <f>F91*AO91</f>
        <v>0</v>
      </c>
      <c r="I91" s="260">
        <f>F91*AP91</f>
        <v>0</v>
      </c>
      <c r="J91" s="260">
        <f>F91*G91</f>
        <v>0</v>
      </c>
      <c r="K91" s="261" t="s">
        <v>79</v>
      </c>
      <c r="Z91" s="260">
        <f>IF(AQ91="5",BJ91,0)</f>
        <v>0</v>
      </c>
      <c r="AB91" s="260">
        <f>IF(AQ91="1",BH91,0)</f>
        <v>0</v>
      </c>
      <c r="AC91" s="260">
        <f>IF(AQ91="1",BI91,0)</f>
        <v>0</v>
      </c>
      <c r="AD91" s="260">
        <f>IF(AQ91="7",BH91,0)</f>
        <v>0</v>
      </c>
      <c r="AE91" s="260">
        <f>IF(AQ91="7",BI91,0)</f>
        <v>0</v>
      </c>
      <c r="AF91" s="260">
        <f>IF(AQ91="2",BH91,0)</f>
        <v>0</v>
      </c>
      <c r="AG91" s="260">
        <f>IF(AQ91="2",BI91,0)</f>
        <v>0</v>
      </c>
      <c r="AH91" s="260">
        <f>IF(AQ91="0",BJ91,0)</f>
        <v>0</v>
      </c>
      <c r="AI91" s="242" t="s">
        <v>49</v>
      </c>
      <c r="AJ91" s="260">
        <f>IF(AN91=0,J91,0)</f>
        <v>0</v>
      </c>
      <c r="AK91" s="260">
        <f>IF(AN91=12,J91,0)</f>
        <v>0</v>
      </c>
      <c r="AL91" s="260">
        <f>IF(AN91=21,J91,0)</f>
        <v>0</v>
      </c>
      <c r="AN91" s="260">
        <v>21</v>
      </c>
      <c r="AO91" s="260">
        <f>G91*1</f>
        <v>0</v>
      </c>
      <c r="AP91" s="260">
        <f>G91*(1-1)</f>
        <v>0</v>
      </c>
      <c r="AQ91" s="262" t="s">
        <v>69</v>
      </c>
      <c r="AV91" s="260">
        <f>AW91+AX91</f>
        <v>0</v>
      </c>
      <c r="AW91" s="260">
        <f>F91*AO91</f>
        <v>0</v>
      </c>
      <c r="AX91" s="260">
        <f>F91*AP91</f>
        <v>0</v>
      </c>
      <c r="AY91" s="262" t="s">
        <v>164</v>
      </c>
      <c r="AZ91" s="262" t="s">
        <v>71</v>
      </c>
      <c r="BA91" s="242" t="s">
        <v>57</v>
      </c>
      <c r="BC91" s="260">
        <f>AW91+AX91</f>
        <v>0</v>
      </c>
      <c r="BD91" s="260">
        <f>G91/(100-BE91)*100</f>
        <v>0</v>
      </c>
      <c r="BE91" s="260">
        <v>0</v>
      </c>
      <c r="BF91" s="260">
        <f>95</f>
        <v>95</v>
      </c>
      <c r="BH91" s="260">
        <f>F91*AO91</f>
        <v>0</v>
      </c>
      <c r="BI91" s="260">
        <f>F91*AP91</f>
        <v>0</v>
      </c>
      <c r="BJ91" s="260">
        <f>F91*G91</f>
        <v>0</v>
      </c>
      <c r="BK91" s="260"/>
      <c r="BL91" s="260">
        <v>713</v>
      </c>
      <c r="BW91" s="260">
        <v>21</v>
      </c>
      <c r="BX91" s="263" t="s">
        <v>201</v>
      </c>
    </row>
    <row r="92" spans="1:11" ht="15">
      <c r="A92" s="264"/>
      <c r="C92" s="265" t="s">
        <v>384</v>
      </c>
      <c r="D92" s="265" t="s">
        <v>49</v>
      </c>
      <c r="F92" s="266">
        <v>5.5377</v>
      </c>
      <c r="K92" s="267"/>
    </row>
    <row r="93" spans="1:47" ht="15">
      <c r="A93" s="252" t="s">
        <v>49</v>
      </c>
      <c r="B93" s="253" t="s">
        <v>203</v>
      </c>
      <c r="C93" s="254" t="s">
        <v>204</v>
      </c>
      <c r="D93" s="255"/>
      <c r="E93" s="256" t="s">
        <v>3</v>
      </c>
      <c r="F93" s="256" t="s">
        <v>3</v>
      </c>
      <c r="G93" s="256" t="s">
        <v>3</v>
      </c>
      <c r="H93" s="221">
        <f>SUM(H94:H96)</f>
        <v>0</v>
      </c>
      <c r="I93" s="221">
        <f>SUM(I94:I96)</f>
        <v>0</v>
      </c>
      <c r="J93" s="221">
        <f>SUM(J94:J96)</f>
        <v>0</v>
      </c>
      <c r="K93" s="257" t="s">
        <v>49</v>
      </c>
      <c r="AI93" s="242" t="s">
        <v>49</v>
      </c>
      <c r="AS93" s="221">
        <f>SUM(AJ94:AJ96)</f>
        <v>0</v>
      </c>
      <c r="AT93" s="221">
        <f>SUM(AK94:AK96)</f>
        <v>0</v>
      </c>
      <c r="AU93" s="221">
        <f>SUM(AL94:AL96)</f>
        <v>0</v>
      </c>
    </row>
    <row r="94" spans="1:76" ht="15">
      <c r="A94" s="258" t="s">
        <v>184</v>
      </c>
      <c r="B94" s="259" t="s">
        <v>206</v>
      </c>
      <c r="C94" s="232" t="s">
        <v>207</v>
      </c>
      <c r="D94" s="228"/>
      <c r="E94" s="259" t="s">
        <v>68</v>
      </c>
      <c r="F94" s="260">
        <v>2</v>
      </c>
      <c r="G94" s="277"/>
      <c r="H94" s="260">
        <f>F94*AO94</f>
        <v>0</v>
      </c>
      <c r="I94" s="260">
        <f>F94*AP94</f>
        <v>0</v>
      </c>
      <c r="J94" s="260">
        <f>F94*G94</f>
        <v>0</v>
      </c>
      <c r="K94" s="261" t="s">
        <v>79</v>
      </c>
      <c r="Z94" s="260">
        <f>IF(AQ94="5",BJ94,0)</f>
        <v>0</v>
      </c>
      <c r="AB94" s="260">
        <f>IF(AQ94="1",BH94,0)</f>
        <v>0</v>
      </c>
      <c r="AC94" s="260">
        <f>IF(AQ94="1",BI94,0)</f>
        <v>0</v>
      </c>
      <c r="AD94" s="260">
        <f>IF(AQ94="7",BH94,0)</f>
        <v>0</v>
      </c>
      <c r="AE94" s="260">
        <f>IF(AQ94="7",BI94,0)</f>
        <v>0</v>
      </c>
      <c r="AF94" s="260">
        <f>IF(AQ94="2",BH94,0)</f>
        <v>0</v>
      </c>
      <c r="AG94" s="260">
        <f>IF(AQ94="2",BI94,0)</f>
        <v>0</v>
      </c>
      <c r="AH94" s="260">
        <f>IF(AQ94="0",BJ94,0)</f>
        <v>0</v>
      </c>
      <c r="AI94" s="242" t="s">
        <v>49</v>
      </c>
      <c r="AJ94" s="260">
        <f>IF(AN94=0,J94,0)</f>
        <v>0</v>
      </c>
      <c r="AK94" s="260">
        <f>IF(AN94=12,J94,0)</f>
        <v>0</v>
      </c>
      <c r="AL94" s="260">
        <f>IF(AN94=21,J94,0)</f>
        <v>0</v>
      </c>
      <c r="AN94" s="260">
        <v>21</v>
      </c>
      <c r="AO94" s="260">
        <f>G94*0</f>
        <v>0</v>
      </c>
      <c r="AP94" s="260">
        <f>G94*(1-0)</f>
        <v>0</v>
      </c>
      <c r="AQ94" s="262" t="s">
        <v>69</v>
      </c>
      <c r="AV94" s="260">
        <f>AW94+AX94</f>
        <v>0</v>
      </c>
      <c r="AW94" s="260">
        <f>F94*AO94</f>
        <v>0</v>
      </c>
      <c r="AX94" s="260">
        <f>F94*AP94</f>
        <v>0</v>
      </c>
      <c r="AY94" s="262" t="s">
        <v>208</v>
      </c>
      <c r="AZ94" s="262" t="s">
        <v>209</v>
      </c>
      <c r="BA94" s="242" t="s">
        <v>57</v>
      </c>
      <c r="BC94" s="260">
        <f>AW94+AX94</f>
        <v>0</v>
      </c>
      <c r="BD94" s="260">
        <f>G94/(100-BE94)*100</f>
        <v>0</v>
      </c>
      <c r="BE94" s="260">
        <v>0</v>
      </c>
      <c r="BF94" s="260">
        <f>98</f>
        <v>98</v>
      </c>
      <c r="BH94" s="260">
        <f>F94*AO94</f>
        <v>0</v>
      </c>
      <c r="BI94" s="260">
        <f>F94*AP94</f>
        <v>0</v>
      </c>
      <c r="BJ94" s="260">
        <f>F94*G94</f>
        <v>0</v>
      </c>
      <c r="BK94" s="260"/>
      <c r="BL94" s="260">
        <v>721</v>
      </c>
      <c r="BW94" s="260">
        <v>21</v>
      </c>
      <c r="BX94" s="263" t="s">
        <v>207</v>
      </c>
    </row>
    <row r="95" spans="1:11" ht="15">
      <c r="A95" s="264"/>
      <c r="C95" s="265" t="s">
        <v>385</v>
      </c>
      <c r="D95" s="265" t="s">
        <v>49</v>
      </c>
      <c r="F95" s="266">
        <v>2</v>
      </c>
      <c r="K95" s="267"/>
    </row>
    <row r="96" spans="1:76" ht="25.5">
      <c r="A96" s="258" t="s">
        <v>188</v>
      </c>
      <c r="B96" s="259" t="s">
        <v>386</v>
      </c>
      <c r="C96" s="232" t="s">
        <v>387</v>
      </c>
      <c r="D96" s="228"/>
      <c r="E96" s="259" t="s">
        <v>68</v>
      </c>
      <c r="F96" s="260">
        <v>7</v>
      </c>
      <c r="G96" s="277"/>
      <c r="H96" s="260">
        <f>F96*AO96</f>
        <v>0</v>
      </c>
      <c r="I96" s="260">
        <f>F96*AP96</f>
        <v>0</v>
      </c>
      <c r="J96" s="260">
        <f>F96*G96</f>
        <v>0</v>
      </c>
      <c r="K96" s="261" t="s">
        <v>79</v>
      </c>
      <c r="Z96" s="260">
        <f>IF(AQ96="5",BJ96,0)</f>
        <v>0</v>
      </c>
      <c r="AB96" s="260">
        <f>IF(AQ96="1",BH96,0)</f>
        <v>0</v>
      </c>
      <c r="AC96" s="260">
        <f>IF(AQ96="1",BI96,0)</f>
        <v>0</v>
      </c>
      <c r="AD96" s="260">
        <f>IF(AQ96="7",BH96,0)</f>
        <v>0</v>
      </c>
      <c r="AE96" s="260">
        <f>IF(AQ96="7",BI96,0)</f>
        <v>0</v>
      </c>
      <c r="AF96" s="260">
        <f>IF(AQ96="2",BH96,0)</f>
        <v>0</v>
      </c>
      <c r="AG96" s="260">
        <f>IF(AQ96="2",BI96,0)</f>
        <v>0</v>
      </c>
      <c r="AH96" s="260">
        <f>IF(AQ96="0",BJ96,0)</f>
        <v>0</v>
      </c>
      <c r="AI96" s="242" t="s">
        <v>49</v>
      </c>
      <c r="AJ96" s="260">
        <f>IF(AN96=0,J96,0)</f>
        <v>0</v>
      </c>
      <c r="AK96" s="260">
        <f>IF(AN96=12,J96,0)</f>
        <v>0</v>
      </c>
      <c r="AL96" s="260">
        <f>IF(AN96=21,J96,0)</f>
        <v>0</v>
      </c>
      <c r="AN96" s="260">
        <v>21</v>
      </c>
      <c r="AO96" s="260">
        <f>G96*0.72968</f>
        <v>0</v>
      </c>
      <c r="AP96" s="260">
        <f>G96*(1-0.72968)</f>
        <v>0</v>
      </c>
      <c r="AQ96" s="262" t="s">
        <v>69</v>
      </c>
      <c r="AV96" s="260">
        <f>AW96+AX96</f>
        <v>0</v>
      </c>
      <c r="AW96" s="260">
        <f>F96*AO96</f>
        <v>0</v>
      </c>
      <c r="AX96" s="260">
        <f>F96*AP96</f>
        <v>0</v>
      </c>
      <c r="AY96" s="262" t="s">
        <v>208</v>
      </c>
      <c r="AZ96" s="262" t="s">
        <v>209</v>
      </c>
      <c r="BA96" s="242" t="s">
        <v>57</v>
      </c>
      <c r="BC96" s="260">
        <f>AW96+AX96</f>
        <v>0</v>
      </c>
      <c r="BD96" s="260">
        <f>G96/(100-BE96)*100</f>
        <v>0</v>
      </c>
      <c r="BE96" s="260">
        <v>0</v>
      </c>
      <c r="BF96" s="260">
        <f>100</f>
        <v>100</v>
      </c>
      <c r="BH96" s="260">
        <f>F96*AO96</f>
        <v>0</v>
      </c>
      <c r="BI96" s="260">
        <f>F96*AP96</f>
        <v>0</v>
      </c>
      <c r="BJ96" s="260">
        <f>F96*G96</f>
        <v>0</v>
      </c>
      <c r="BK96" s="260"/>
      <c r="BL96" s="260">
        <v>721</v>
      </c>
      <c r="BW96" s="260">
        <v>21</v>
      </c>
      <c r="BX96" s="263" t="s">
        <v>387</v>
      </c>
    </row>
    <row r="97" spans="1:11" ht="15">
      <c r="A97" s="264"/>
      <c r="C97" s="265" t="s">
        <v>388</v>
      </c>
      <c r="D97" s="265" t="s">
        <v>49</v>
      </c>
      <c r="F97" s="266">
        <v>7</v>
      </c>
      <c r="K97" s="267"/>
    </row>
    <row r="98" spans="1:47" ht="15">
      <c r="A98" s="252" t="s">
        <v>49</v>
      </c>
      <c r="B98" s="253" t="s">
        <v>217</v>
      </c>
      <c r="C98" s="254" t="s">
        <v>218</v>
      </c>
      <c r="D98" s="255"/>
      <c r="E98" s="256" t="s">
        <v>3</v>
      </c>
      <c r="F98" s="256" t="s">
        <v>3</v>
      </c>
      <c r="G98" s="256" t="s">
        <v>3</v>
      </c>
      <c r="H98" s="221">
        <f>SUM(H99:H99)</f>
        <v>0</v>
      </c>
      <c r="I98" s="221">
        <f>SUM(I99:I99)</f>
        <v>0</v>
      </c>
      <c r="J98" s="221">
        <f>SUM(J99:J99)</f>
        <v>0</v>
      </c>
      <c r="K98" s="257" t="s">
        <v>49</v>
      </c>
      <c r="AI98" s="242" t="s">
        <v>49</v>
      </c>
      <c r="AS98" s="221">
        <f>SUM(AJ99:AJ99)</f>
        <v>0</v>
      </c>
      <c r="AT98" s="221">
        <f>SUM(AK99:AK99)</f>
        <v>0</v>
      </c>
      <c r="AU98" s="221">
        <f>SUM(AL99:AL99)</f>
        <v>0</v>
      </c>
    </row>
    <row r="99" spans="1:76" ht="15">
      <c r="A99" s="258" t="s">
        <v>191</v>
      </c>
      <c r="B99" s="259" t="s">
        <v>220</v>
      </c>
      <c r="C99" s="232" t="s">
        <v>221</v>
      </c>
      <c r="D99" s="228"/>
      <c r="E99" s="259" t="s">
        <v>222</v>
      </c>
      <c r="F99" s="260">
        <v>108.6444</v>
      </c>
      <c r="G99" s="277"/>
      <c r="H99" s="260">
        <f>F99*AO99</f>
        <v>0</v>
      </c>
      <c r="I99" s="260">
        <f>F99*AP99</f>
        <v>0</v>
      </c>
      <c r="J99" s="260">
        <f>F99*G99</f>
        <v>0</v>
      </c>
      <c r="K99" s="261" t="s">
        <v>49</v>
      </c>
      <c r="Z99" s="260">
        <f>IF(AQ99="5",BJ99,0)</f>
        <v>0</v>
      </c>
      <c r="AB99" s="260">
        <f>IF(AQ99="1",BH99,0)</f>
        <v>0</v>
      </c>
      <c r="AC99" s="260">
        <f>IF(AQ99="1",BI99,0)</f>
        <v>0</v>
      </c>
      <c r="AD99" s="260">
        <f>IF(AQ99="7",BH99,0)</f>
        <v>0</v>
      </c>
      <c r="AE99" s="260">
        <f>IF(AQ99="7",BI99,0)</f>
        <v>0</v>
      </c>
      <c r="AF99" s="260">
        <f>IF(AQ99="2",BH99,0)</f>
        <v>0</v>
      </c>
      <c r="AG99" s="260">
        <f>IF(AQ99="2",BI99,0)</f>
        <v>0</v>
      </c>
      <c r="AH99" s="260">
        <f>IF(AQ99="0",BJ99,0)</f>
        <v>0</v>
      </c>
      <c r="AI99" s="242" t="s">
        <v>49</v>
      </c>
      <c r="AJ99" s="260">
        <f>IF(AN99=0,J99,0)</f>
        <v>0</v>
      </c>
      <c r="AK99" s="260">
        <f>IF(AN99=12,J99,0)</f>
        <v>0</v>
      </c>
      <c r="AL99" s="260">
        <f>IF(AN99=21,J99,0)</f>
        <v>0</v>
      </c>
      <c r="AN99" s="260">
        <v>21</v>
      </c>
      <c r="AO99" s="260">
        <f>G99*0.666666667</f>
        <v>0</v>
      </c>
      <c r="AP99" s="260">
        <f>G99*(1-0.666666667)</f>
        <v>0</v>
      </c>
      <c r="AQ99" s="262" t="s">
        <v>69</v>
      </c>
      <c r="AV99" s="260">
        <f>AW99+AX99</f>
        <v>0</v>
      </c>
      <c r="AW99" s="260">
        <f>F99*AO99</f>
        <v>0</v>
      </c>
      <c r="AX99" s="260">
        <f>F99*AP99</f>
        <v>0</v>
      </c>
      <c r="AY99" s="262" t="s">
        <v>223</v>
      </c>
      <c r="AZ99" s="262" t="s">
        <v>224</v>
      </c>
      <c r="BA99" s="242" t="s">
        <v>57</v>
      </c>
      <c r="BC99" s="260">
        <f>AW99+AX99</f>
        <v>0</v>
      </c>
      <c r="BD99" s="260">
        <f>G99/(100-BE99)*100</f>
        <v>0</v>
      </c>
      <c r="BE99" s="260">
        <v>0</v>
      </c>
      <c r="BF99" s="260">
        <f>103</f>
        <v>103</v>
      </c>
      <c r="BH99" s="260">
        <f>F99*AO99</f>
        <v>0</v>
      </c>
      <c r="BI99" s="260">
        <f>F99*AP99</f>
        <v>0</v>
      </c>
      <c r="BJ99" s="260">
        <f>F99*G99</f>
        <v>0</v>
      </c>
      <c r="BK99" s="260"/>
      <c r="BL99" s="260">
        <v>762</v>
      </c>
      <c r="BW99" s="260">
        <v>21</v>
      </c>
      <c r="BX99" s="263" t="s">
        <v>221</v>
      </c>
    </row>
    <row r="100" spans="1:11" ht="15">
      <c r="A100" s="264"/>
      <c r="C100" s="265" t="s">
        <v>389</v>
      </c>
      <c r="D100" s="265" t="s">
        <v>49</v>
      </c>
      <c r="F100" s="266">
        <v>105.48</v>
      </c>
      <c r="K100" s="267"/>
    </row>
    <row r="101" spans="1:11" ht="15">
      <c r="A101" s="264"/>
      <c r="C101" s="265" t="s">
        <v>390</v>
      </c>
      <c r="D101" s="265" t="s">
        <v>49</v>
      </c>
      <c r="F101" s="266">
        <v>3.1644</v>
      </c>
      <c r="K101" s="267"/>
    </row>
    <row r="102" spans="1:47" ht="15">
      <c r="A102" s="252" t="s">
        <v>49</v>
      </c>
      <c r="B102" s="253" t="s">
        <v>227</v>
      </c>
      <c r="C102" s="254" t="s">
        <v>228</v>
      </c>
      <c r="D102" s="255"/>
      <c r="E102" s="256" t="s">
        <v>3</v>
      </c>
      <c r="F102" s="256" t="s">
        <v>3</v>
      </c>
      <c r="G102" s="256" t="s">
        <v>3</v>
      </c>
      <c r="H102" s="221">
        <f>SUM(H103:H105)</f>
        <v>0</v>
      </c>
      <c r="I102" s="221">
        <f>SUM(I103:I105)</f>
        <v>0</v>
      </c>
      <c r="J102" s="221">
        <f>SUM(J103:J105)</f>
        <v>0</v>
      </c>
      <c r="K102" s="257" t="s">
        <v>49</v>
      </c>
      <c r="AI102" s="242" t="s">
        <v>49</v>
      </c>
      <c r="AS102" s="221">
        <f>SUM(AJ103:AJ105)</f>
        <v>0</v>
      </c>
      <c r="AT102" s="221">
        <f>SUM(AK103:AK105)</f>
        <v>0</v>
      </c>
      <c r="AU102" s="221">
        <f>SUM(AL103:AL105)</f>
        <v>0</v>
      </c>
    </row>
    <row r="103" spans="1:76" ht="15">
      <c r="A103" s="258" t="s">
        <v>196</v>
      </c>
      <c r="B103" s="259" t="s">
        <v>230</v>
      </c>
      <c r="C103" s="232" t="s">
        <v>231</v>
      </c>
      <c r="D103" s="228"/>
      <c r="E103" s="259" t="s">
        <v>78</v>
      </c>
      <c r="F103" s="260">
        <v>32.34</v>
      </c>
      <c r="G103" s="277"/>
      <c r="H103" s="260">
        <f>F103*AO103</f>
        <v>0</v>
      </c>
      <c r="I103" s="260">
        <f>F103*AP103</f>
        <v>0</v>
      </c>
      <c r="J103" s="260">
        <f>F103*G103</f>
        <v>0</v>
      </c>
      <c r="K103" s="261" t="s">
        <v>79</v>
      </c>
      <c r="Z103" s="260">
        <f>IF(AQ103="5",BJ103,0)</f>
        <v>0</v>
      </c>
      <c r="AB103" s="260">
        <f>IF(AQ103="1",BH103,0)</f>
        <v>0</v>
      </c>
      <c r="AC103" s="260">
        <f>IF(AQ103="1",BI103,0)</f>
        <v>0</v>
      </c>
      <c r="AD103" s="260">
        <f>IF(AQ103="7",BH103,0)</f>
        <v>0</v>
      </c>
      <c r="AE103" s="260">
        <f>IF(AQ103="7",BI103,0)</f>
        <v>0</v>
      </c>
      <c r="AF103" s="260">
        <f>IF(AQ103="2",BH103,0)</f>
        <v>0</v>
      </c>
      <c r="AG103" s="260">
        <f>IF(AQ103="2",BI103,0)</f>
        <v>0</v>
      </c>
      <c r="AH103" s="260">
        <f>IF(AQ103="0",BJ103,0)</f>
        <v>0</v>
      </c>
      <c r="AI103" s="242" t="s">
        <v>49</v>
      </c>
      <c r="AJ103" s="260">
        <f>IF(AN103=0,J103,0)</f>
        <v>0</v>
      </c>
      <c r="AK103" s="260">
        <f>IF(AN103=12,J103,0)</f>
        <v>0</v>
      </c>
      <c r="AL103" s="260">
        <f>IF(AN103=21,J103,0)</f>
        <v>0</v>
      </c>
      <c r="AN103" s="260">
        <v>21</v>
      </c>
      <c r="AO103" s="260">
        <f>G103*0.00918429</f>
        <v>0</v>
      </c>
      <c r="AP103" s="260">
        <f>G103*(1-0.00918429)</f>
        <v>0</v>
      </c>
      <c r="AQ103" s="262" t="s">
        <v>69</v>
      </c>
      <c r="AV103" s="260">
        <f>AW103+AX103</f>
        <v>0</v>
      </c>
      <c r="AW103" s="260">
        <f>F103*AO103</f>
        <v>0</v>
      </c>
      <c r="AX103" s="260">
        <f>F103*AP103</f>
        <v>0</v>
      </c>
      <c r="AY103" s="262" t="s">
        <v>232</v>
      </c>
      <c r="AZ103" s="262" t="s">
        <v>224</v>
      </c>
      <c r="BA103" s="242" t="s">
        <v>57</v>
      </c>
      <c r="BC103" s="260">
        <f>AW103+AX103</f>
        <v>0</v>
      </c>
      <c r="BD103" s="260">
        <f>G103/(100-BE103)*100</f>
        <v>0</v>
      </c>
      <c r="BE103" s="260">
        <v>0</v>
      </c>
      <c r="BF103" s="260">
        <f>107</f>
        <v>107</v>
      </c>
      <c r="BH103" s="260">
        <f>F103*AO103</f>
        <v>0</v>
      </c>
      <c r="BI103" s="260">
        <f>F103*AP103</f>
        <v>0</v>
      </c>
      <c r="BJ103" s="260">
        <f>F103*G103</f>
        <v>0</v>
      </c>
      <c r="BK103" s="260"/>
      <c r="BL103" s="260">
        <v>763</v>
      </c>
      <c r="BW103" s="260">
        <v>21</v>
      </c>
      <c r="BX103" s="263" t="s">
        <v>231</v>
      </c>
    </row>
    <row r="104" spans="1:11" ht="15">
      <c r="A104" s="264"/>
      <c r="C104" s="265" t="s">
        <v>391</v>
      </c>
      <c r="D104" s="265" t="s">
        <v>49</v>
      </c>
      <c r="F104" s="266">
        <v>32.34</v>
      </c>
      <c r="K104" s="267"/>
    </row>
    <row r="105" spans="1:76" ht="15">
      <c r="A105" s="258" t="s">
        <v>199</v>
      </c>
      <c r="B105" s="259" t="s">
        <v>235</v>
      </c>
      <c r="C105" s="232" t="s">
        <v>236</v>
      </c>
      <c r="D105" s="228"/>
      <c r="E105" s="259" t="s">
        <v>78</v>
      </c>
      <c r="F105" s="260">
        <v>33.3102</v>
      </c>
      <c r="G105" s="277"/>
      <c r="H105" s="260">
        <f>F105*AO105</f>
        <v>0</v>
      </c>
      <c r="I105" s="260">
        <f>F105*AP105</f>
        <v>0</v>
      </c>
      <c r="J105" s="260">
        <f>F105*G105</f>
        <v>0</v>
      </c>
      <c r="K105" s="261" t="s">
        <v>79</v>
      </c>
      <c r="Z105" s="260">
        <f>IF(AQ105="5",BJ105,0)</f>
        <v>0</v>
      </c>
      <c r="AB105" s="260">
        <f>IF(AQ105="1",BH105,0)</f>
        <v>0</v>
      </c>
      <c r="AC105" s="260">
        <f>IF(AQ105="1",BI105,0)</f>
        <v>0</v>
      </c>
      <c r="AD105" s="260">
        <f>IF(AQ105="7",BH105,0)</f>
        <v>0</v>
      </c>
      <c r="AE105" s="260">
        <f>IF(AQ105="7",BI105,0)</f>
        <v>0</v>
      </c>
      <c r="AF105" s="260">
        <f>IF(AQ105="2",BH105,0)</f>
        <v>0</v>
      </c>
      <c r="AG105" s="260">
        <f>IF(AQ105="2",BI105,0)</f>
        <v>0</v>
      </c>
      <c r="AH105" s="260">
        <f>IF(AQ105="0",BJ105,0)</f>
        <v>0</v>
      </c>
      <c r="AI105" s="242" t="s">
        <v>49</v>
      </c>
      <c r="AJ105" s="260">
        <f>IF(AN105=0,J105,0)</f>
        <v>0</v>
      </c>
      <c r="AK105" s="260">
        <f>IF(AN105=12,J105,0)</f>
        <v>0</v>
      </c>
      <c r="AL105" s="260">
        <f>IF(AN105=21,J105,0)</f>
        <v>0</v>
      </c>
      <c r="AN105" s="260">
        <v>21</v>
      </c>
      <c r="AO105" s="260">
        <f>G105*1</f>
        <v>0</v>
      </c>
      <c r="AP105" s="260">
        <f>G105*(1-1)</f>
        <v>0</v>
      </c>
      <c r="AQ105" s="262" t="s">
        <v>69</v>
      </c>
      <c r="AV105" s="260">
        <f>AW105+AX105</f>
        <v>0</v>
      </c>
      <c r="AW105" s="260">
        <f>F105*AO105</f>
        <v>0</v>
      </c>
      <c r="AX105" s="260">
        <f>F105*AP105</f>
        <v>0</v>
      </c>
      <c r="AY105" s="262" t="s">
        <v>232</v>
      </c>
      <c r="AZ105" s="262" t="s">
        <v>224</v>
      </c>
      <c r="BA105" s="242" t="s">
        <v>57</v>
      </c>
      <c r="BC105" s="260">
        <f>AW105+AX105</f>
        <v>0</v>
      </c>
      <c r="BD105" s="260">
        <f>G105/(100-BE105)*100</f>
        <v>0</v>
      </c>
      <c r="BE105" s="260">
        <v>0</v>
      </c>
      <c r="BF105" s="260">
        <f>109</f>
        <v>109</v>
      </c>
      <c r="BH105" s="260">
        <f>F105*AO105</f>
        <v>0</v>
      </c>
      <c r="BI105" s="260">
        <f>F105*AP105</f>
        <v>0</v>
      </c>
      <c r="BJ105" s="260">
        <f>F105*G105</f>
        <v>0</v>
      </c>
      <c r="BK105" s="260"/>
      <c r="BL105" s="260">
        <v>763</v>
      </c>
      <c r="BW105" s="260">
        <v>21</v>
      </c>
      <c r="BX105" s="263" t="s">
        <v>236</v>
      </c>
    </row>
    <row r="106" spans="1:11" ht="15">
      <c r="A106" s="264"/>
      <c r="C106" s="265" t="s">
        <v>392</v>
      </c>
      <c r="D106" s="265" t="s">
        <v>49</v>
      </c>
      <c r="F106" s="266">
        <v>32.34</v>
      </c>
      <c r="K106" s="267"/>
    </row>
    <row r="107" spans="1:11" ht="15">
      <c r="A107" s="264"/>
      <c r="C107" s="265" t="s">
        <v>393</v>
      </c>
      <c r="D107" s="265" t="s">
        <v>49</v>
      </c>
      <c r="F107" s="266">
        <v>0.9702</v>
      </c>
      <c r="K107" s="267"/>
    </row>
    <row r="108" spans="1:47" ht="15">
      <c r="A108" s="252" t="s">
        <v>49</v>
      </c>
      <c r="B108" s="253" t="s">
        <v>239</v>
      </c>
      <c r="C108" s="254" t="s">
        <v>240</v>
      </c>
      <c r="D108" s="255"/>
      <c r="E108" s="256" t="s">
        <v>3</v>
      </c>
      <c r="F108" s="256" t="s">
        <v>3</v>
      </c>
      <c r="G108" s="256" t="s">
        <v>3</v>
      </c>
      <c r="H108" s="221">
        <f>SUM(H109:H120)</f>
        <v>0</v>
      </c>
      <c r="I108" s="221">
        <f>SUM(I109:I120)</f>
        <v>0</v>
      </c>
      <c r="J108" s="221">
        <f>SUM(J109:J120)</f>
        <v>0</v>
      </c>
      <c r="K108" s="257" t="s">
        <v>49</v>
      </c>
      <c r="AI108" s="242" t="s">
        <v>49</v>
      </c>
      <c r="AS108" s="221">
        <f>SUM(AJ109:AJ120)</f>
        <v>0</v>
      </c>
      <c r="AT108" s="221">
        <f>SUM(AK109:AK120)</f>
        <v>0</v>
      </c>
      <c r="AU108" s="221">
        <f>SUM(AL109:AL120)</f>
        <v>0</v>
      </c>
    </row>
    <row r="109" spans="1:76" ht="15">
      <c r="A109" s="258">
        <v>45</v>
      </c>
      <c r="B109" s="259" t="s">
        <v>242</v>
      </c>
      <c r="C109" s="232" t="s">
        <v>243</v>
      </c>
      <c r="D109" s="228"/>
      <c r="E109" s="259" t="s">
        <v>222</v>
      </c>
      <c r="F109" s="260">
        <v>105.48</v>
      </c>
      <c r="G109" s="277"/>
      <c r="H109" s="260">
        <f>F109*AO109</f>
        <v>0</v>
      </c>
      <c r="I109" s="260">
        <f>F109*AP109</f>
        <v>0</v>
      </c>
      <c r="J109" s="260">
        <f>F109*G109</f>
        <v>0</v>
      </c>
      <c r="K109" s="261" t="s">
        <v>79</v>
      </c>
      <c r="Z109" s="260">
        <f>IF(AQ109="5",BJ109,0)</f>
        <v>0</v>
      </c>
      <c r="AB109" s="260">
        <f>IF(AQ109="1",BH109,0)</f>
        <v>0</v>
      </c>
      <c r="AC109" s="260">
        <f>IF(AQ109="1",BI109,0)</f>
        <v>0</v>
      </c>
      <c r="AD109" s="260">
        <f>IF(AQ109="7",BH109,0)</f>
        <v>0</v>
      </c>
      <c r="AE109" s="260">
        <f>IF(AQ109="7",BI109,0)</f>
        <v>0</v>
      </c>
      <c r="AF109" s="260">
        <f>IF(AQ109="2",BH109,0)</f>
        <v>0</v>
      </c>
      <c r="AG109" s="260">
        <f>IF(AQ109="2",BI109,0)</f>
        <v>0</v>
      </c>
      <c r="AH109" s="260">
        <f>IF(AQ109="0",BJ109,0)</f>
        <v>0</v>
      </c>
      <c r="AI109" s="242" t="s">
        <v>49</v>
      </c>
      <c r="AJ109" s="260">
        <f>IF(AN109=0,J109,0)</f>
        <v>0</v>
      </c>
      <c r="AK109" s="260">
        <f>IF(AN109=12,J109,0)</f>
        <v>0</v>
      </c>
      <c r="AL109" s="260">
        <f>IF(AN109=21,J109,0)</f>
        <v>0</v>
      </c>
      <c r="AN109" s="260">
        <v>21</v>
      </c>
      <c r="AO109" s="260">
        <f>G109*0</f>
        <v>0</v>
      </c>
      <c r="AP109" s="260">
        <f>G109*(1-0)</f>
        <v>0</v>
      </c>
      <c r="AQ109" s="262" t="s">
        <v>69</v>
      </c>
      <c r="AV109" s="260">
        <f>AW109+AX109</f>
        <v>0</v>
      </c>
      <c r="AW109" s="260">
        <f>F109*AO109</f>
        <v>0</v>
      </c>
      <c r="AX109" s="260">
        <f>F109*AP109</f>
        <v>0</v>
      </c>
      <c r="AY109" s="262" t="s">
        <v>241</v>
      </c>
      <c r="AZ109" s="262" t="s">
        <v>224</v>
      </c>
      <c r="BA109" s="242" t="s">
        <v>57</v>
      </c>
      <c r="BC109" s="260">
        <f>AW109+AX109</f>
        <v>0</v>
      </c>
      <c r="BD109" s="260">
        <f>G109/(100-BE109)*100</f>
        <v>0</v>
      </c>
      <c r="BE109" s="260">
        <v>0</v>
      </c>
      <c r="BF109" s="260">
        <f>120</f>
        <v>120</v>
      </c>
      <c r="BH109" s="260">
        <f>F109*AO109</f>
        <v>0</v>
      </c>
      <c r="BI109" s="260">
        <f>F109*AP109</f>
        <v>0</v>
      </c>
      <c r="BJ109" s="260">
        <f>F109*G109</f>
        <v>0</v>
      </c>
      <c r="BK109" s="260"/>
      <c r="BL109" s="260">
        <v>764</v>
      </c>
      <c r="BW109" s="260">
        <v>21</v>
      </c>
      <c r="BX109" s="263" t="s">
        <v>243</v>
      </c>
    </row>
    <row r="110" spans="1:11" ht="15">
      <c r="A110" s="264"/>
      <c r="C110" s="265" t="s">
        <v>394</v>
      </c>
      <c r="D110" s="265" t="s">
        <v>49</v>
      </c>
      <c r="F110" s="266">
        <v>105.48</v>
      </c>
      <c r="K110" s="267"/>
    </row>
    <row r="111" spans="1:76" ht="15">
      <c r="A111" s="258">
        <v>46</v>
      </c>
      <c r="B111" s="259" t="s">
        <v>245</v>
      </c>
      <c r="C111" s="232" t="s">
        <v>246</v>
      </c>
      <c r="D111" s="228"/>
      <c r="E111" s="259" t="s">
        <v>68</v>
      </c>
      <c r="F111" s="260">
        <v>1</v>
      </c>
      <c r="G111" s="277"/>
      <c r="H111" s="260">
        <f>F111*AO111</f>
        <v>0</v>
      </c>
      <c r="I111" s="260">
        <f>F111*AP111</f>
        <v>0</v>
      </c>
      <c r="J111" s="260">
        <f>F111*G111</f>
        <v>0</v>
      </c>
      <c r="K111" s="261" t="s">
        <v>49</v>
      </c>
      <c r="Z111" s="260">
        <f>IF(AQ111="5",BJ111,0)</f>
        <v>0</v>
      </c>
      <c r="AB111" s="260">
        <f>IF(AQ111="1",BH111,0)</f>
        <v>0</v>
      </c>
      <c r="AC111" s="260">
        <f>IF(AQ111="1",BI111,0)</f>
        <v>0</v>
      </c>
      <c r="AD111" s="260">
        <f>IF(AQ111="7",BH111,0)</f>
        <v>0</v>
      </c>
      <c r="AE111" s="260">
        <f>IF(AQ111="7",BI111,0)</f>
        <v>0</v>
      </c>
      <c r="AF111" s="260">
        <f>IF(AQ111="2",BH111,0)</f>
        <v>0</v>
      </c>
      <c r="AG111" s="260">
        <f>IF(AQ111="2",BI111,0)</f>
        <v>0</v>
      </c>
      <c r="AH111" s="260">
        <f>IF(AQ111="0",BJ111,0)</f>
        <v>0</v>
      </c>
      <c r="AI111" s="242" t="s">
        <v>49</v>
      </c>
      <c r="AJ111" s="260">
        <f>IF(AN111=0,J111,0)</f>
        <v>0</v>
      </c>
      <c r="AK111" s="260">
        <f>IF(AN111=12,J111,0)</f>
        <v>0</v>
      </c>
      <c r="AL111" s="260">
        <f>IF(AN111=21,J111,0)</f>
        <v>0</v>
      </c>
      <c r="AN111" s="260">
        <v>21</v>
      </c>
      <c r="AO111" s="260">
        <f>G111*0</f>
        <v>0</v>
      </c>
      <c r="AP111" s="260">
        <f>G111*(1-0)</f>
        <v>0</v>
      </c>
      <c r="AQ111" s="262" t="s">
        <v>69</v>
      </c>
      <c r="AV111" s="260">
        <f>AW111+AX111</f>
        <v>0</v>
      </c>
      <c r="AW111" s="260">
        <f>F111*AO111</f>
        <v>0</v>
      </c>
      <c r="AX111" s="260">
        <f>F111*AP111</f>
        <v>0</v>
      </c>
      <c r="AY111" s="262" t="s">
        <v>241</v>
      </c>
      <c r="AZ111" s="262" t="s">
        <v>224</v>
      </c>
      <c r="BA111" s="242" t="s">
        <v>57</v>
      </c>
      <c r="BC111" s="260">
        <f>AW111+AX111</f>
        <v>0</v>
      </c>
      <c r="BD111" s="260">
        <f>G111/(100-BE111)*100</f>
        <v>0</v>
      </c>
      <c r="BE111" s="260">
        <v>0</v>
      </c>
      <c r="BF111" s="260">
        <f>122</f>
        <v>122</v>
      </c>
      <c r="BH111" s="260">
        <f>F111*AO111</f>
        <v>0</v>
      </c>
      <c r="BI111" s="260">
        <f>F111*AP111</f>
        <v>0</v>
      </c>
      <c r="BJ111" s="260">
        <f>F111*G111</f>
        <v>0</v>
      </c>
      <c r="BK111" s="260"/>
      <c r="BL111" s="260">
        <v>764</v>
      </c>
      <c r="BW111" s="260">
        <v>21</v>
      </c>
      <c r="BX111" s="263" t="s">
        <v>246</v>
      </c>
    </row>
    <row r="112" spans="1:11" ht="15">
      <c r="A112" s="264"/>
      <c r="C112" s="265" t="s">
        <v>395</v>
      </c>
      <c r="D112" s="265" t="s">
        <v>49</v>
      </c>
      <c r="F112" s="266">
        <v>1</v>
      </c>
      <c r="K112" s="267"/>
    </row>
    <row r="113" spans="1:76" ht="15">
      <c r="A113" s="258">
        <v>47</v>
      </c>
      <c r="B113" s="259" t="s">
        <v>248</v>
      </c>
      <c r="C113" s="232" t="s">
        <v>249</v>
      </c>
      <c r="D113" s="228"/>
      <c r="E113" s="259" t="s">
        <v>68</v>
      </c>
      <c r="F113" s="260">
        <v>1</v>
      </c>
      <c r="G113" s="277"/>
      <c r="H113" s="260">
        <f>F113*AO113</f>
        <v>0</v>
      </c>
      <c r="I113" s="260">
        <f>F113*AP113</f>
        <v>0</v>
      </c>
      <c r="J113" s="260">
        <f>F113*G113</f>
        <v>0</v>
      </c>
      <c r="K113" s="261" t="s">
        <v>49</v>
      </c>
      <c r="Z113" s="260">
        <f>IF(AQ113="5",BJ113,0)</f>
        <v>0</v>
      </c>
      <c r="AB113" s="260">
        <f>IF(AQ113="1",BH113,0)</f>
        <v>0</v>
      </c>
      <c r="AC113" s="260">
        <f>IF(AQ113="1",BI113,0)</f>
        <v>0</v>
      </c>
      <c r="AD113" s="260">
        <f>IF(AQ113="7",BH113,0)</f>
        <v>0</v>
      </c>
      <c r="AE113" s="260">
        <f>IF(AQ113="7",BI113,0)</f>
        <v>0</v>
      </c>
      <c r="AF113" s="260">
        <f>IF(AQ113="2",BH113,0)</f>
        <v>0</v>
      </c>
      <c r="AG113" s="260">
        <f>IF(AQ113="2",BI113,0)</f>
        <v>0</v>
      </c>
      <c r="AH113" s="260">
        <f>IF(AQ113="0",BJ113,0)</f>
        <v>0</v>
      </c>
      <c r="AI113" s="242" t="s">
        <v>49</v>
      </c>
      <c r="AJ113" s="260">
        <f>IF(AN113=0,J113,0)</f>
        <v>0</v>
      </c>
      <c r="AK113" s="260">
        <f>IF(AN113=12,J113,0)</f>
        <v>0</v>
      </c>
      <c r="AL113" s="260">
        <f>IF(AN113=21,J113,0)</f>
        <v>0</v>
      </c>
      <c r="AN113" s="260">
        <v>21</v>
      </c>
      <c r="AO113" s="260">
        <f>G113*0.333333333</f>
        <v>0</v>
      </c>
      <c r="AP113" s="260">
        <f>G113*(1-0.333333333)</f>
        <v>0</v>
      </c>
      <c r="AQ113" s="262" t="s">
        <v>69</v>
      </c>
      <c r="AV113" s="260">
        <f>AW113+AX113</f>
        <v>0</v>
      </c>
      <c r="AW113" s="260">
        <f>F113*AO113</f>
        <v>0</v>
      </c>
      <c r="AX113" s="260">
        <f>F113*AP113</f>
        <v>0</v>
      </c>
      <c r="AY113" s="262" t="s">
        <v>241</v>
      </c>
      <c r="AZ113" s="262" t="s">
        <v>224</v>
      </c>
      <c r="BA113" s="242" t="s">
        <v>57</v>
      </c>
      <c r="BC113" s="260">
        <f>AW113+AX113</f>
        <v>0</v>
      </c>
      <c r="BD113" s="260">
        <f>G113/(100-BE113)*100</f>
        <v>0</v>
      </c>
      <c r="BE113" s="260">
        <v>0</v>
      </c>
      <c r="BF113" s="260">
        <f>124</f>
        <v>124</v>
      </c>
      <c r="BH113" s="260">
        <f>F113*AO113</f>
        <v>0</v>
      </c>
      <c r="BI113" s="260">
        <f>F113*AP113</f>
        <v>0</v>
      </c>
      <c r="BJ113" s="260">
        <f>F113*G113</f>
        <v>0</v>
      </c>
      <c r="BK113" s="260"/>
      <c r="BL113" s="260">
        <v>764</v>
      </c>
      <c r="BW113" s="260">
        <v>21</v>
      </c>
      <c r="BX113" s="263" t="s">
        <v>249</v>
      </c>
    </row>
    <row r="114" spans="1:11" ht="15">
      <c r="A114" s="264"/>
      <c r="C114" s="265" t="s">
        <v>396</v>
      </c>
      <c r="D114" s="265" t="s">
        <v>49</v>
      </c>
      <c r="F114" s="266">
        <v>1</v>
      </c>
      <c r="K114" s="267"/>
    </row>
    <row r="115" spans="1:76" ht="15">
      <c r="A115" s="258">
        <v>48</v>
      </c>
      <c r="B115" s="268" t="s">
        <v>251</v>
      </c>
      <c r="C115" s="232" t="s">
        <v>252</v>
      </c>
      <c r="D115" s="228"/>
      <c r="E115" s="259" t="s">
        <v>222</v>
      </c>
      <c r="F115" s="260">
        <v>108.6444</v>
      </c>
      <c r="G115" s="277"/>
      <c r="H115" s="260">
        <f>F115*AO115</f>
        <v>0</v>
      </c>
      <c r="I115" s="260">
        <f>F115*AP115</f>
        <v>0</v>
      </c>
      <c r="J115" s="260">
        <f>F115*G115</f>
        <v>0</v>
      </c>
      <c r="K115" s="261" t="s">
        <v>79</v>
      </c>
      <c r="Z115" s="260">
        <f>IF(AQ115="5",BJ115,0)</f>
        <v>0</v>
      </c>
      <c r="AB115" s="260">
        <f>IF(AQ115="1",BH115,0)</f>
        <v>0</v>
      </c>
      <c r="AC115" s="260">
        <f>IF(AQ115="1",BI115,0)</f>
        <v>0</v>
      </c>
      <c r="AD115" s="260">
        <f>IF(AQ115="7",BH115,0)</f>
        <v>0</v>
      </c>
      <c r="AE115" s="260">
        <f>IF(AQ115="7",BI115,0)</f>
        <v>0</v>
      </c>
      <c r="AF115" s="260">
        <f>IF(AQ115="2",BH115,0)</f>
        <v>0</v>
      </c>
      <c r="AG115" s="260">
        <f>IF(AQ115="2",BI115,0)</f>
        <v>0</v>
      </c>
      <c r="AH115" s="260">
        <f>IF(AQ115="0",BJ115,0)</f>
        <v>0</v>
      </c>
      <c r="AI115" s="242" t="s">
        <v>49</v>
      </c>
      <c r="AJ115" s="260">
        <f>IF(AN115=0,J115,0)</f>
        <v>0</v>
      </c>
      <c r="AK115" s="260">
        <f>IF(AN115=12,J115,0)</f>
        <v>0</v>
      </c>
      <c r="AL115" s="260">
        <f>IF(AN115=21,J115,0)</f>
        <v>0</v>
      </c>
      <c r="AN115" s="260">
        <v>21</v>
      </c>
      <c r="AO115" s="260">
        <f>G115*0.510850636</f>
        <v>0</v>
      </c>
      <c r="AP115" s="260">
        <f>G115*(1-0.510850636)</f>
        <v>0</v>
      </c>
      <c r="AQ115" s="262" t="s">
        <v>69</v>
      </c>
      <c r="AV115" s="260">
        <f>AW115+AX115</f>
        <v>0</v>
      </c>
      <c r="AW115" s="260">
        <f>F115*AO115</f>
        <v>0</v>
      </c>
      <c r="AX115" s="260">
        <f>F115*AP115</f>
        <v>0</v>
      </c>
      <c r="AY115" s="262" t="s">
        <v>241</v>
      </c>
      <c r="AZ115" s="262" t="s">
        <v>224</v>
      </c>
      <c r="BA115" s="242" t="s">
        <v>57</v>
      </c>
      <c r="BC115" s="260">
        <f>AW115+AX115</f>
        <v>0</v>
      </c>
      <c r="BD115" s="260">
        <f>G115/(100-BE115)*100</f>
        <v>0</v>
      </c>
      <c r="BE115" s="260">
        <v>0</v>
      </c>
      <c r="BF115" s="260">
        <f>126</f>
        <v>126</v>
      </c>
      <c r="BH115" s="260">
        <f>F115*AO115</f>
        <v>0</v>
      </c>
      <c r="BI115" s="260">
        <f>F115*AP115</f>
        <v>0</v>
      </c>
      <c r="BJ115" s="260">
        <f>F115*G115</f>
        <v>0</v>
      </c>
      <c r="BK115" s="260"/>
      <c r="BL115" s="260">
        <v>764</v>
      </c>
      <c r="BW115" s="260">
        <v>21</v>
      </c>
      <c r="BX115" s="263" t="s">
        <v>252</v>
      </c>
    </row>
    <row r="116" spans="1:11" ht="15">
      <c r="A116" s="264"/>
      <c r="B116" s="269"/>
      <c r="C116" s="265" t="s">
        <v>397</v>
      </c>
      <c r="D116" s="265" t="s">
        <v>49</v>
      </c>
      <c r="F116" s="266">
        <v>105.48</v>
      </c>
      <c r="K116" s="267"/>
    </row>
    <row r="117" spans="1:11" ht="15">
      <c r="A117" s="264"/>
      <c r="B117" s="269"/>
      <c r="C117" s="265" t="s">
        <v>390</v>
      </c>
      <c r="D117" s="265" t="s">
        <v>49</v>
      </c>
      <c r="F117" s="266">
        <v>3.1644</v>
      </c>
      <c r="K117" s="267"/>
    </row>
    <row r="118" spans="1:76" ht="15">
      <c r="A118" s="258">
        <v>49</v>
      </c>
      <c r="B118" s="268" t="s">
        <v>256</v>
      </c>
      <c r="C118" s="232" t="s">
        <v>257</v>
      </c>
      <c r="D118" s="228"/>
      <c r="E118" s="259" t="s">
        <v>222</v>
      </c>
      <c r="F118" s="260">
        <v>105.48</v>
      </c>
      <c r="G118" s="277"/>
      <c r="H118" s="260">
        <f>F118*AO118</f>
        <v>0</v>
      </c>
      <c r="I118" s="260">
        <f>F118*AP118</f>
        <v>0</v>
      </c>
      <c r="J118" s="260">
        <f>F118*G118</f>
        <v>0</v>
      </c>
      <c r="K118" s="261" t="s">
        <v>79</v>
      </c>
      <c r="Z118" s="260">
        <f>IF(AQ118="5",BJ118,0)</f>
        <v>0</v>
      </c>
      <c r="AB118" s="260">
        <f>IF(AQ118="1",BH118,0)</f>
        <v>0</v>
      </c>
      <c r="AC118" s="260">
        <f>IF(AQ118="1",BI118,0)</f>
        <v>0</v>
      </c>
      <c r="AD118" s="260">
        <f>IF(AQ118="7",BH118,0)</f>
        <v>0</v>
      </c>
      <c r="AE118" s="260">
        <f>IF(AQ118="7",BI118,0)</f>
        <v>0</v>
      </c>
      <c r="AF118" s="260">
        <f>IF(AQ118="2",BH118,0)</f>
        <v>0</v>
      </c>
      <c r="AG118" s="260">
        <f>IF(AQ118="2",BI118,0)</f>
        <v>0</v>
      </c>
      <c r="AH118" s="260">
        <f>IF(AQ118="0",BJ118,0)</f>
        <v>0</v>
      </c>
      <c r="AI118" s="242" t="s">
        <v>49</v>
      </c>
      <c r="AJ118" s="260">
        <f>IF(AN118=0,J118,0)</f>
        <v>0</v>
      </c>
      <c r="AK118" s="260">
        <f>IF(AN118=12,J118,0)</f>
        <v>0</v>
      </c>
      <c r="AL118" s="260">
        <f>IF(AN118=21,J118,0)</f>
        <v>0</v>
      </c>
      <c r="AN118" s="260">
        <v>21</v>
      </c>
      <c r="AO118" s="260">
        <f>G118*0.309895912</f>
        <v>0</v>
      </c>
      <c r="AP118" s="260">
        <f>G118*(1-0.309895912)</f>
        <v>0</v>
      </c>
      <c r="AQ118" s="262" t="s">
        <v>69</v>
      </c>
      <c r="AV118" s="260">
        <f>AW118+AX118</f>
        <v>0</v>
      </c>
      <c r="AW118" s="260">
        <f>F118*AO118</f>
        <v>0</v>
      </c>
      <c r="AX118" s="260">
        <f>F118*AP118</f>
        <v>0</v>
      </c>
      <c r="AY118" s="262" t="s">
        <v>241</v>
      </c>
      <c r="AZ118" s="262" t="s">
        <v>224</v>
      </c>
      <c r="BA118" s="242" t="s">
        <v>57</v>
      </c>
      <c r="BC118" s="260">
        <f>AW118+AX118</f>
        <v>0</v>
      </c>
      <c r="BD118" s="260">
        <f>G118/(100-BE118)*100</f>
        <v>0</v>
      </c>
      <c r="BE118" s="260">
        <v>0</v>
      </c>
      <c r="BF118" s="260">
        <f>129</f>
        <v>129</v>
      </c>
      <c r="BH118" s="260">
        <f>F118*AO118</f>
        <v>0</v>
      </c>
      <c r="BI118" s="260">
        <f>F118*AP118</f>
        <v>0</v>
      </c>
      <c r="BJ118" s="260">
        <f>F118*G118</f>
        <v>0</v>
      </c>
      <c r="BK118" s="260"/>
      <c r="BL118" s="260">
        <v>764</v>
      </c>
      <c r="BW118" s="260">
        <v>21</v>
      </c>
      <c r="BX118" s="263" t="s">
        <v>257</v>
      </c>
    </row>
    <row r="119" spans="1:11" ht="15">
      <c r="A119" s="264"/>
      <c r="B119" s="269"/>
      <c r="C119" s="265" t="s">
        <v>398</v>
      </c>
      <c r="D119" s="265" t="s">
        <v>49</v>
      </c>
      <c r="F119" s="266">
        <v>105.48</v>
      </c>
      <c r="K119" s="267"/>
    </row>
    <row r="120" spans="1:76" ht="15">
      <c r="A120" s="258">
        <v>50</v>
      </c>
      <c r="B120" s="268" t="s">
        <v>399</v>
      </c>
      <c r="C120" s="232" t="s">
        <v>400</v>
      </c>
      <c r="D120" s="228"/>
      <c r="E120" s="259" t="s">
        <v>222</v>
      </c>
      <c r="F120" s="260">
        <v>4.2</v>
      </c>
      <c r="G120" s="277"/>
      <c r="H120" s="260">
        <f>F120*AO120</f>
        <v>0</v>
      </c>
      <c r="I120" s="260">
        <f>F120*AP120</f>
        <v>0</v>
      </c>
      <c r="J120" s="260">
        <f>F120*G120</f>
        <v>0</v>
      </c>
      <c r="K120" s="261" t="s">
        <v>79</v>
      </c>
      <c r="Z120" s="260">
        <f>IF(AQ120="5",BJ120,0)</f>
        <v>0</v>
      </c>
      <c r="AB120" s="260">
        <f>IF(AQ120="1",BH120,0)</f>
        <v>0</v>
      </c>
      <c r="AC120" s="260">
        <f>IF(AQ120="1",BI120,0)</f>
        <v>0</v>
      </c>
      <c r="AD120" s="260">
        <f>IF(AQ120="7",BH120,0)</f>
        <v>0</v>
      </c>
      <c r="AE120" s="260">
        <f>IF(AQ120="7",BI120,0)</f>
        <v>0</v>
      </c>
      <c r="AF120" s="260">
        <f>IF(AQ120="2",BH120,0)</f>
        <v>0</v>
      </c>
      <c r="AG120" s="260">
        <f>IF(AQ120="2",BI120,0)</f>
        <v>0</v>
      </c>
      <c r="AH120" s="260">
        <f>IF(AQ120="0",BJ120,0)</f>
        <v>0</v>
      </c>
      <c r="AI120" s="242" t="s">
        <v>49</v>
      </c>
      <c r="AJ120" s="260">
        <f>IF(AN120=0,J120,0)</f>
        <v>0</v>
      </c>
      <c r="AK120" s="260">
        <f>IF(AN120=12,J120,0)</f>
        <v>0</v>
      </c>
      <c r="AL120" s="260">
        <f>IF(AN120=21,J120,0)</f>
        <v>0</v>
      </c>
      <c r="AN120" s="260">
        <v>21</v>
      </c>
      <c r="AO120" s="260">
        <f>G120*0.386672024</f>
        <v>0</v>
      </c>
      <c r="AP120" s="260">
        <f>G120*(1-0.386672024)</f>
        <v>0</v>
      </c>
      <c r="AQ120" s="262" t="s">
        <v>69</v>
      </c>
      <c r="AV120" s="260">
        <f>AW120+AX120</f>
        <v>0</v>
      </c>
      <c r="AW120" s="260">
        <f>F120*AO120</f>
        <v>0</v>
      </c>
      <c r="AX120" s="260">
        <f>F120*AP120</f>
        <v>0</v>
      </c>
      <c r="AY120" s="262" t="s">
        <v>241</v>
      </c>
      <c r="AZ120" s="262" t="s">
        <v>224</v>
      </c>
      <c r="BA120" s="242" t="s">
        <v>57</v>
      </c>
      <c r="BC120" s="260">
        <f>AW120+AX120</f>
        <v>0</v>
      </c>
      <c r="BD120" s="260">
        <f>G120/(100-BE120)*100</f>
        <v>0</v>
      </c>
      <c r="BE120" s="260">
        <v>0</v>
      </c>
      <c r="BF120" s="260">
        <f>131</f>
        <v>131</v>
      </c>
      <c r="BH120" s="260">
        <f>F120*AO120</f>
        <v>0</v>
      </c>
      <c r="BI120" s="260">
        <f>F120*AP120</f>
        <v>0</v>
      </c>
      <c r="BJ120" s="260">
        <f>F120*G120</f>
        <v>0</v>
      </c>
      <c r="BK120" s="260"/>
      <c r="BL120" s="260">
        <v>764</v>
      </c>
      <c r="BW120" s="260">
        <v>21</v>
      </c>
      <c r="BX120" s="263" t="s">
        <v>400</v>
      </c>
    </row>
    <row r="121" spans="1:11" ht="15">
      <c r="A121" s="264"/>
      <c r="C121" s="265" t="s">
        <v>401</v>
      </c>
      <c r="D121" s="265" t="s">
        <v>49</v>
      </c>
      <c r="F121" s="266">
        <v>4.2</v>
      </c>
      <c r="K121" s="267"/>
    </row>
    <row r="122" spans="1:47" ht="15">
      <c r="A122" s="252" t="s">
        <v>49</v>
      </c>
      <c r="B122" s="253" t="s">
        <v>402</v>
      </c>
      <c r="C122" s="254" t="s">
        <v>403</v>
      </c>
      <c r="D122" s="255"/>
      <c r="E122" s="256" t="s">
        <v>3</v>
      </c>
      <c r="F122" s="256" t="s">
        <v>3</v>
      </c>
      <c r="G122" s="256" t="s">
        <v>3</v>
      </c>
      <c r="H122" s="221">
        <f>SUM(H123:H129)</f>
        <v>0</v>
      </c>
      <c r="I122" s="221">
        <f>SUM(I123:I129)</f>
        <v>0</v>
      </c>
      <c r="J122" s="221">
        <f>SUM(J123:J129)</f>
        <v>0</v>
      </c>
      <c r="K122" s="257" t="s">
        <v>49</v>
      </c>
      <c r="AI122" s="242" t="s">
        <v>49</v>
      </c>
      <c r="AS122" s="221">
        <f>SUM(AJ123:AJ129)</f>
        <v>0</v>
      </c>
      <c r="AT122" s="221">
        <f>SUM(AK123:AK129)</f>
        <v>0</v>
      </c>
      <c r="AU122" s="221">
        <f>SUM(AL123:AL129)</f>
        <v>0</v>
      </c>
    </row>
    <row r="123" spans="1:76" ht="15">
      <c r="A123" s="258">
        <v>51</v>
      </c>
      <c r="B123" s="259" t="s">
        <v>404</v>
      </c>
      <c r="C123" s="232" t="s">
        <v>405</v>
      </c>
      <c r="D123" s="228"/>
      <c r="E123" s="259" t="s">
        <v>68</v>
      </c>
      <c r="F123" s="260">
        <v>1</v>
      </c>
      <c r="G123" s="277"/>
      <c r="H123" s="260">
        <f>F123*AO123</f>
        <v>0</v>
      </c>
      <c r="I123" s="260">
        <f>F123*AP123</f>
        <v>0</v>
      </c>
      <c r="J123" s="260">
        <f>F123*G123</f>
        <v>0</v>
      </c>
      <c r="K123" s="261" t="s">
        <v>49</v>
      </c>
      <c r="Z123" s="260">
        <f>IF(AQ123="5",BJ123,0)</f>
        <v>0</v>
      </c>
      <c r="AB123" s="260">
        <f>IF(AQ123="1",BH123,0)</f>
        <v>0</v>
      </c>
      <c r="AC123" s="260">
        <f>IF(AQ123="1",BI123,0)</f>
        <v>0</v>
      </c>
      <c r="AD123" s="260">
        <f>IF(AQ123="7",BH123,0)</f>
        <v>0</v>
      </c>
      <c r="AE123" s="260">
        <f>IF(AQ123="7",BI123,0)</f>
        <v>0</v>
      </c>
      <c r="AF123" s="260">
        <f>IF(AQ123="2",BH123,0)</f>
        <v>0</v>
      </c>
      <c r="AG123" s="260">
        <f>IF(AQ123="2",BI123,0)</f>
        <v>0</v>
      </c>
      <c r="AH123" s="260">
        <f>IF(AQ123="0",BJ123,0)</f>
        <v>0</v>
      </c>
      <c r="AI123" s="242" t="s">
        <v>49</v>
      </c>
      <c r="AJ123" s="260">
        <f>IF(AN123=0,J123,0)</f>
        <v>0</v>
      </c>
      <c r="AK123" s="260">
        <f>IF(AN123=12,J123,0)</f>
        <v>0</v>
      </c>
      <c r="AL123" s="260">
        <f>IF(AN123=21,J123,0)</f>
        <v>0</v>
      </c>
      <c r="AN123" s="260">
        <v>21</v>
      </c>
      <c r="AO123" s="260">
        <f>G123*0.9</f>
        <v>0</v>
      </c>
      <c r="AP123" s="260">
        <f>G123*(1-0.9)</f>
        <v>0</v>
      </c>
      <c r="AQ123" s="262" t="s">
        <v>69</v>
      </c>
      <c r="AV123" s="260">
        <f>AW123+AX123</f>
        <v>0</v>
      </c>
      <c r="AW123" s="260">
        <f>F123*AO123</f>
        <v>0</v>
      </c>
      <c r="AX123" s="260">
        <f>F123*AP123</f>
        <v>0</v>
      </c>
      <c r="AY123" s="262" t="s">
        <v>406</v>
      </c>
      <c r="AZ123" s="262" t="s">
        <v>224</v>
      </c>
      <c r="BA123" s="242" t="s">
        <v>57</v>
      </c>
      <c r="BC123" s="260">
        <f>AW123+AX123</f>
        <v>0</v>
      </c>
      <c r="BD123" s="260">
        <f>G123/(100-BE123)*100</f>
        <v>0</v>
      </c>
      <c r="BE123" s="260">
        <v>0</v>
      </c>
      <c r="BF123" s="260">
        <f>134</f>
        <v>134</v>
      </c>
      <c r="BH123" s="260">
        <f>F123*AO123</f>
        <v>0</v>
      </c>
      <c r="BI123" s="260">
        <f>F123*AP123</f>
        <v>0</v>
      </c>
      <c r="BJ123" s="260">
        <f>F123*G123</f>
        <v>0</v>
      </c>
      <c r="BK123" s="260"/>
      <c r="BL123" s="260">
        <v>767</v>
      </c>
      <c r="BW123" s="260">
        <v>21</v>
      </c>
      <c r="BX123" s="263" t="s">
        <v>405</v>
      </c>
    </row>
    <row r="124" spans="1:11" ht="15">
      <c r="A124" s="264"/>
      <c r="C124" s="265" t="s">
        <v>357</v>
      </c>
      <c r="D124" s="265" t="s">
        <v>49</v>
      </c>
      <c r="F124" s="266">
        <v>1</v>
      </c>
      <c r="K124" s="267"/>
    </row>
    <row r="125" spans="1:76" ht="15">
      <c r="A125" s="258">
        <v>52</v>
      </c>
      <c r="B125" s="259" t="s">
        <v>407</v>
      </c>
      <c r="C125" s="232" t="s">
        <v>408</v>
      </c>
      <c r="D125" s="228"/>
      <c r="E125" s="259" t="s">
        <v>68</v>
      </c>
      <c r="F125" s="260">
        <v>1</v>
      </c>
      <c r="G125" s="277"/>
      <c r="H125" s="260">
        <f>F125*AO125</f>
        <v>0</v>
      </c>
      <c r="I125" s="260">
        <f>F125*AP125</f>
        <v>0</v>
      </c>
      <c r="J125" s="260">
        <f>F125*G125</f>
        <v>0</v>
      </c>
      <c r="K125" s="261" t="s">
        <v>49</v>
      </c>
      <c r="Z125" s="260">
        <f>IF(AQ125="5",BJ125,0)</f>
        <v>0</v>
      </c>
      <c r="AB125" s="260">
        <f>IF(AQ125="1",BH125,0)</f>
        <v>0</v>
      </c>
      <c r="AC125" s="260">
        <f>IF(AQ125="1",BI125,0)</f>
        <v>0</v>
      </c>
      <c r="AD125" s="260">
        <f>IF(AQ125="7",BH125,0)</f>
        <v>0</v>
      </c>
      <c r="AE125" s="260">
        <f>IF(AQ125="7",BI125,0)</f>
        <v>0</v>
      </c>
      <c r="AF125" s="260">
        <f>IF(AQ125="2",BH125,0)</f>
        <v>0</v>
      </c>
      <c r="AG125" s="260">
        <f>IF(AQ125="2",BI125,0)</f>
        <v>0</v>
      </c>
      <c r="AH125" s="260">
        <f>IF(AQ125="0",BJ125,0)</f>
        <v>0</v>
      </c>
      <c r="AI125" s="242" t="s">
        <v>49</v>
      </c>
      <c r="AJ125" s="260">
        <f>IF(AN125=0,J125,0)</f>
        <v>0</v>
      </c>
      <c r="AK125" s="260">
        <f>IF(AN125=12,J125,0)</f>
        <v>0</v>
      </c>
      <c r="AL125" s="260">
        <f>IF(AN125=21,J125,0)</f>
        <v>0</v>
      </c>
      <c r="AN125" s="260">
        <v>21</v>
      </c>
      <c r="AO125" s="260">
        <f>G125*0</f>
        <v>0</v>
      </c>
      <c r="AP125" s="260">
        <f>G125*(1-0)</f>
        <v>0</v>
      </c>
      <c r="AQ125" s="262" t="s">
        <v>69</v>
      </c>
      <c r="AV125" s="260">
        <f>AW125+AX125</f>
        <v>0</v>
      </c>
      <c r="AW125" s="260">
        <f>F125*AO125</f>
        <v>0</v>
      </c>
      <c r="AX125" s="260">
        <f>F125*AP125</f>
        <v>0</v>
      </c>
      <c r="AY125" s="262" t="s">
        <v>406</v>
      </c>
      <c r="AZ125" s="262" t="s">
        <v>224</v>
      </c>
      <c r="BA125" s="242" t="s">
        <v>57</v>
      </c>
      <c r="BC125" s="260">
        <f>AW125+AX125</f>
        <v>0</v>
      </c>
      <c r="BD125" s="260">
        <f>G125/(100-BE125)*100</f>
        <v>0</v>
      </c>
      <c r="BE125" s="260">
        <v>0</v>
      </c>
      <c r="BF125" s="260">
        <f>136</f>
        <v>136</v>
      </c>
      <c r="BH125" s="260">
        <f>F125*AO125</f>
        <v>0</v>
      </c>
      <c r="BI125" s="260">
        <f>F125*AP125</f>
        <v>0</v>
      </c>
      <c r="BJ125" s="260">
        <f>F125*G125</f>
        <v>0</v>
      </c>
      <c r="BK125" s="260"/>
      <c r="BL125" s="260">
        <v>767</v>
      </c>
      <c r="BW125" s="260">
        <v>21</v>
      </c>
      <c r="BX125" s="263" t="s">
        <v>408</v>
      </c>
    </row>
    <row r="126" spans="1:11" ht="15">
      <c r="A126" s="264"/>
      <c r="C126" s="265" t="s">
        <v>409</v>
      </c>
      <c r="D126" s="265" t="s">
        <v>49</v>
      </c>
      <c r="F126" s="266">
        <v>1</v>
      </c>
      <c r="K126" s="267"/>
    </row>
    <row r="127" spans="1:76" ht="15">
      <c r="A127" s="258">
        <v>53</v>
      </c>
      <c r="B127" s="259" t="s">
        <v>410</v>
      </c>
      <c r="C127" s="232" t="s">
        <v>411</v>
      </c>
      <c r="D127" s="228"/>
      <c r="E127" s="259" t="s">
        <v>68</v>
      </c>
      <c r="F127" s="260">
        <v>1</v>
      </c>
      <c r="G127" s="277"/>
      <c r="H127" s="260">
        <f>F127*AO127</f>
        <v>0</v>
      </c>
      <c r="I127" s="260">
        <f>F127*AP127</f>
        <v>0</v>
      </c>
      <c r="J127" s="260">
        <f>F127*G127</f>
        <v>0</v>
      </c>
      <c r="K127" s="261" t="s">
        <v>79</v>
      </c>
      <c r="Z127" s="260">
        <f>IF(AQ127="5",BJ127,0)</f>
        <v>0</v>
      </c>
      <c r="AB127" s="260">
        <f>IF(AQ127="1",BH127,0)</f>
        <v>0</v>
      </c>
      <c r="AC127" s="260">
        <f>IF(AQ127="1",BI127,0)</f>
        <v>0</v>
      </c>
      <c r="AD127" s="260">
        <f>IF(AQ127="7",BH127,0)</f>
        <v>0</v>
      </c>
      <c r="AE127" s="260">
        <f>IF(AQ127="7",BI127,0)</f>
        <v>0</v>
      </c>
      <c r="AF127" s="260">
        <f>IF(AQ127="2",BH127,0)</f>
        <v>0</v>
      </c>
      <c r="AG127" s="260">
        <f>IF(AQ127="2",BI127,0)</f>
        <v>0</v>
      </c>
      <c r="AH127" s="260">
        <f>IF(AQ127="0",BJ127,0)</f>
        <v>0</v>
      </c>
      <c r="AI127" s="242" t="s">
        <v>49</v>
      </c>
      <c r="AJ127" s="260">
        <f>IF(AN127=0,J127,0)</f>
        <v>0</v>
      </c>
      <c r="AK127" s="260">
        <f>IF(AN127=12,J127,0)</f>
        <v>0</v>
      </c>
      <c r="AL127" s="260">
        <f>IF(AN127=21,J127,0)</f>
        <v>0</v>
      </c>
      <c r="AN127" s="260">
        <v>21</v>
      </c>
      <c r="AO127" s="260">
        <f>G127*0.016390154</f>
        <v>0</v>
      </c>
      <c r="AP127" s="260">
        <f>G127*(1-0.016390154)</f>
        <v>0</v>
      </c>
      <c r="AQ127" s="262" t="s">
        <v>69</v>
      </c>
      <c r="AV127" s="260">
        <f>AW127+AX127</f>
        <v>0</v>
      </c>
      <c r="AW127" s="260">
        <f>F127*AO127</f>
        <v>0</v>
      </c>
      <c r="AX127" s="260">
        <f>F127*AP127</f>
        <v>0</v>
      </c>
      <c r="AY127" s="262" t="s">
        <v>406</v>
      </c>
      <c r="AZ127" s="262" t="s">
        <v>224</v>
      </c>
      <c r="BA127" s="242" t="s">
        <v>57</v>
      </c>
      <c r="BC127" s="260">
        <f>AW127+AX127</f>
        <v>0</v>
      </c>
      <c r="BD127" s="260">
        <f>G127/(100-BE127)*100</f>
        <v>0</v>
      </c>
      <c r="BE127" s="260">
        <v>0</v>
      </c>
      <c r="BF127" s="260">
        <f>138</f>
        <v>138</v>
      </c>
      <c r="BH127" s="260">
        <f>F127*AO127</f>
        <v>0</v>
      </c>
      <c r="BI127" s="260">
        <f>F127*AP127</f>
        <v>0</v>
      </c>
      <c r="BJ127" s="260">
        <f>F127*G127</f>
        <v>0</v>
      </c>
      <c r="BK127" s="260"/>
      <c r="BL127" s="260">
        <v>767</v>
      </c>
      <c r="BW127" s="260">
        <v>21</v>
      </c>
      <c r="BX127" s="263" t="s">
        <v>411</v>
      </c>
    </row>
    <row r="128" spans="1:11" ht="15">
      <c r="A128" s="264"/>
      <c r="C128" s="265" t="s">
        <v>357</v>
      </c>
      <c r="D128" s="265" t="s">
        <v>49</v>
      </c>
      <c r="F128" s="266">
        <v>1</v>
      </c>
      <c r="K128" s="267"/>
    </row>
    <row r="129" spans="1:76" ht="15">
      <c r="A129" s="258">
        <v>54</v>
      </c>
      <c r="B129" s="259" t="s">
        <v>412</v>
      </c>
      <c r="C129" s="232" t="s">
        <v>413</v>
      </c>
      <c r="D129" s="228"/>
      <c r="E129" s="259" t="s">
        <v>68</v>
      </c>
      <c r="F129" s="260">
        <v>1</v>
      </c>
      <c r="G129" s="277"/>
      <c r="H129" s="260">
        <f>F129*AO129</f>
        <v>0</v>
      </c>
      <c r="I129" s="260">
        <f>F129*AP129</f>
        <v>0</v>
      </c>
      <c r="J129" s="260">
        <f>F129*G129</f>
        <v>0</v>
      </c>
      <c r="K129" s="261" t="s">
        <v>49</v>
      </c>
      <c r="Z129" s="260">
        <f>IF(AQ129="5",BJ129,0)</f>
        <v>0</v>
      </c>
      <c r="AB129" s="260">
        <f>IF(AQ129="1",BH129,0)</f>
        <v>0</v>
      </c>
      <c r="AC129" s="260">
        <f>IF(AQ129="1",BI129,0)</f>
        <v>0</v>
      </c>
      <c r="AD129" s="260">
        <f>IF(AQ129="7",BH129,0)</f>
        <v>0</v>
      </c>
      <c r="AE129" s="260">
        <f>IF(AQ129="7",BI129,0)</f>
        <v>0</v>
      </c>
      <c r="AF129" s="260">
        <f>IF(AQ129="2",BH129,0)</f>
        <v>0</v>
      </c>
      <c r="AG129" s="260">
        <f>IF(AQ129="2",BI129,0)</f>
        <v>0</v>
      </c>
      <c r="AH129" s="260">
        <f>IF(AQ129="0",BJ129,0)</f>
        <v>0</v>
      </c>
      <c r="AI129" s="242" t="s">
        <v>49</v>
      </c>
      <c r="AJ129" s="260">
        <f>IF(AN129=0,J129,0)</f>
        <v>0</v>
      </c>
      <c r="AK129" s="260">
        <f>IF(AN129=12,J129,0)</f>
        <v>0</v>
      </c>
      <c r="AL129" s="260">
        <f>IF(AN129=21,J129,0)</f>
        <v>0</v>
      </c>
      <c r="AN129" s="260">
        <v>21</v>
      </c>
      <c r="AO129" s="260">
        <f>G129*1</f>
        <v>0</v>
      </c>
      <c r="AP129" s="260">
        <f>G129*(1-1)</f>
        <v>0</v>
      </c>
      <c r="AQ129" s="262" t="s">
        <v>69</v>
      </c>
      <c r="AV129" s="260">
        <f>AW129+AX129</f>
        <v>0</v>
      </c>
      <c r="AW129" s="260">
        <f>F129*AO129</f>
        <v>0</v>
      </c>
      <c r="AX129" s="260">
        <f>F129*AP129</f>
        <v>0</v>
      </c>
      <c r="AY129" s="262" t="s">
        <v>406</v>
      </c>
      <c r="AZ129" s="262" t="s">
        <v>224</v>
      </c>
      <c r="BA129" s="242" t="s">
        <v>57</v>
      </c>
      <c r="BC129" s="260">
        <f>AW129+AX129</f>
        <v>0</v>
      </c>
      <c r="BD129" s="260">
        <f>G129/(100-BE129)*100</f>
        <v>0</v>
      </c>
      <c r="BE129" s="260">
        <v>0</v>
      </c>
      <c r="BF129" s="260">
        <f>140</f>
        <v>140</v>
      </c>
      <c r="BH129" s="260">
        <f>F129*AO129</f>
        <v>0</v>
      </c>
      <c r="BI129" s="260">
        <f>F129*AP129</f>
        <v>0</v>
      </c>
      <c r="BJ129" s="260">
        <f>F129*G129</f>
        <v>0</v>
      </c>
      <c r="BK129" s="260"/>
      <c r="BL129" s="260">
        <v>767</v>
      </c>
      <c r="BW129" s="260">
        <v>21</v>
      </c>
      <c r="BX129" s="263" t="s">
        <v>413</v>
      </c>
    </row>
    <row r="130" spans="1:11" ht="15">
      <c r="A130" s="264"/>
      <c r="C130" s="265" t="s">
        <v>357</v>
      </c>
      <c r="D130" s="265" t="s">
        <v>49</v>
      </c>
      <c r="F130" s="266">
        <v>1</v>
      </c>
      <c r="K130" s="267"/>
    </row>
    <row r="131" spans="1:47" ht="15">
      <c r="A131" s="252" t="s">
        <v>49</v>
      </c>
      <c r="B131" s="253" t="s">
        <v>259</v>
      </c>
      <c r="C131" s="254" t="s">
        <v>260</v>
      </c>
      <c r="D131" s="255"/>
      <c r="E131" s="256" t="s">
        <v>3</v>
      </c>
      <c r="F131" s="256" t="s">
        <v>3</v>
      </c>
      <c r="G131" s="256" t="s">
        <v>3</v>
      </c>
      <c r="H131" s="221">
        <f>SUM(H132:H132)</f>
        <v>0</v>
      </c>
      <c r="I131" s="221">
        <f>SUM(I132:I132)</f>
        <v>0</v>
      </c>
      <c r="J131" s="221">
        <f>SUM(J132:J132)</f>
        <v>0</v>
      </c>
      <c r="K131" s="257" t="s">
        <v>49</v>
      </c>
      <c r="AI131" s="242" t="s">
        <v>49</v>
      </c>
      <c r="AS131" s="221">
        <f>SUM(AJ132:AJ132)</f>
        <v>0</v>
      </c>
      <c r="AT131" s="221">
        <f>SUM(AK132:AK132)</f>
        <v>0</v>
      </c>
      <c r="AU131" s="221">
        <f>SUM(AL132:AL132)</f>
        <v>0</v>
      </c>
    </row>
    <row r="132" spans="1:76" ht="15">
      <c r="A132" s="258">
        <v>55</v>
      </c>
      <c r="B132" s="259" t="s">
        <v>261</v>
      </c>
      <c r="C132" s="232" t="s">
        <v>262</v>
      </c>
      <c r="D132" s="228"/>
      <c r="E132" s="259" t="s">
        <v>78</v>
      </c>
      <c r="F132" s="260">
        <v>611.984</v>
      </c>
      <c r="G132" s="277"/>
      <c r="H132" s="260">
        <f>F132*AO132</f>
        <v>0</v>
      </c>
      <c r="I132" s="260">
        <f>F132*AP132</f>
        <v>0</v>
      </c>
      <c r="J132" s="260">
        <f>F132*G132</f>
        <v>0</v>
      </c>
      <c r="K132" s="261" t="s">
        <v>79</v>
      </c>
      <c r="Z132" s="260">
        <f>IF(AQ132="5",BJ132,0)</f>
        <v>0</v>
      </c>
      <c r="AB132" s="260">
        <f>IF(AQ132="1",BH132,0)</f>
        <v>0</v>
      </c>
      <c r="AC132" s="260">
        <f>IF(AQ132="1",BI132,0)</f>
        <v>0</v>
      </c>
      <c r="AD132" s="260">
        <f>IF(AQ132="7",BH132,0)</f>
        <v>0</v>
      </c>
      <c r="AE132" s="260">
        <f>IF(AQ132="7",BI132,0)</f>
        <v>0</v>
      </c>
      <c r="AF132" s="260">
        <f>IF(AQ132="2",BH132,0)</f>
        <v>0</v>
      </c>
      <c r="AG132" s="260">
        <f>IF(AQ132="2",BI132,0)</f>
        <v>0</v>
      </c>
      <c r="AH132" s="260">
        <f>IF(AQ132="0",BJ132,0)</f>
        <v>0</v>
      </c>
      <c r="AI132" s="242" t="s">
        <v>49</v>
      </c>
      <c r="AJ132" s="260">
        <f>IF(AN132=0,J132,0)</f>
        <v>0</v>
      </c>
      <c r="AK132" s="260">
        <f>IF(AN132=12,J132,0)</f>
        <v>0</v>
      </c>
      <c r="AL132" s="260">
        <f>IF(AN132=21,J132,0)</f>
        <v>0</v>
      </c>
      <c r="AN132" s="260">
        <v>21</v>
      </c>
      <c r="AO132" s="260">
        <f>G132*0.001740231</f>
        <v>0</v>
      </c>
      <c r="AP132" s="260">
        <f>G132*(1-0.001740231)</f>
        <v>0</v>
      </c>
      <c r="AQ132" s="262" t="s">
        <v>52</v>
      </c>
      <c r="AV132" s="260">
        <f>AW132+AX132</f>
        <v>0</v>
      </c>
      <c r="AW132" s="260">
        <f>F132*AO132</f>
        <v>0</v>
      </c>
      <c r="AX132" s="260">
        <f>F132*AP132</f>
        <v>0</v>
      </c>
      <c r="AY132" s="262" t="s">
        <v>263</v>
      </c>
      <c r="AZ132" s="262" t="s">
        <v>264</v>
      </c>
      <c r="BA132" s="242" t="s">
        <v>57</v>
      </c>
      <c r="BC132" s="260">
        <f>AW132+AX132</f>
        <v>0</v>
      </c>
      <c r="BD132" s="260">
        <f>G132/(100-BE132)*100</f>
        <v>0</v>
      </c>
      <c r="BE132" s="260">
        <v>0</v>
      </c>
      <c r="BF132" s="260">
        <f>143</f>
        <v>143</v>
      </c>
      <c r="BH132" s="260">
        <f>F132*AO132</f>
        <v>0</v>
      </c>
      <c r="BI132" s="260">
        <f>F132*AP132</f>
        <v>0</v>
      </c>
      <c r="BJ132" s="260">
        <f>F132*G132</f>
        <v>0</v>
      </c>
      <c r="BK132" s="260"/>
      <c r="BL132" s="260">
        <v>95</v>
      </c>
      <c r="BW132" s="260">
        <v>21</v>
      </c>
      <c r="BX132" s="263" t="s">
        <v>262</v>
      </c>
    </row>
    <row r="133" spans="1:11" ht="15">
      <c r="A133" s="264"/>
      <c r="C133" s="265" t="s">
        <v>365</v>
      </c>
      <c r="D133" s="265" t="s">
        <v>49</v>
      </c>
      <c r="F133" s="266">
        <v>548</v>
      </c>
      <c r="K133" s="267"/>
    </row>
    <row r="134" spans="1:11" ht="15">
      <c r="A134" s="264"/>
      <c r="C134" s="265" t="s">
        <v>361</v>
      </c>
      <c r="D134" s="265" t="s">
        <v>49</v>
      </c>
      <c r="F134" s="266">
        <v>32.34</v>
      </c>
      <c r="K134" s="267"/>
    </row>
    <row r="135" spans="1:11" ht="15">
      <c r="A135" s="264"/>
      <c r="C135" s="265" t="s">
        <v>369</v>
      </c>
      <c r="D135" s="265" t="s">
        <v>49</v>
      </c>
      <c r="F135" s="266">
        <v>31.644</v>
      </c>
      <c r="K135" s="267"/>
    </row>
    <row r="136" spans="1:47" ht="15">
      <c r="A136" s="252" t="s">
        <v>49</v>
      </c>
      <c r="B136" s="253" t="s">
        <v>414</v>
      </c>
      <c r="C136" s="254" t="s">
        <v>415</v>
      </c>
      <c r="D136" s="255"/>
      <c r="E136" s="256" t="s">
        <v>3</v>
      </c>
      <c r="F136" s="256" t="s">
        <v>3</v>
      </c>
      <c r="G136" s="256" t="s">
        <v>3</v>
      </c>
      <c r="H136" s="221">
        <f>SUM(H137:H137)</f>
        <v>0</v>
      </c>
      <c r="I136" s="221">
        <f>SUM(I137:I137)</f>
        <v>0</v>
      </c>
      <c r="J136" s="221">
        <f>SUM(J137:J137)</f>
        <v>0</v>
      </c>
      <c r="K136" s="257" t="s">
        <v>49</v>
      </c>
      <c r="AI136" s="242" t="s">
        <v>49</v>
      </c>
      <c r="AS136" s="221">
        <f>SUM(AJ137:AJ137)</f>
        <v>0</v>
      </c>
      <c r="AT136" s="221">
        <f>SUM(AK137:AK137)</f>
        <v>0</v>
      </c>
      <c r="AU136" s="221">
        <f>SUM(AL137:AL137)</f>
        <v>0</v>
      </c>
    </row>
    <row r="137" spans="1:76" ht="15">
      <c r="A137" s="258">
        <v>56</v>
      </c>
      <c r="B137" s="259" t="s">
        <v>416</v>
      </c>
      <c r="C137" s="232" t="s">
        <v>417</v>
      </c>
      <c r="D137" s="228"/>
      <c r="E137" s="259" t="s">
        <v>68</v>
      </c>
      <c r="F137" s="260">
        <v>7</v>
      </c>
      <c r="G137" s="277"/>
      <c r="H137" s="260">
        <f>F137*AO137</f>
        <v>0</v>
      </c>
      <c r="I137" s="260">
        <f>F137*AP137</f>
        <v>0</v>
      </c>
      <c r="J137" s="260">
        <f>F137*G137</f>
        <v>0</v>
      </c>
      <c r="K137" s="261" t="s">
        <v>49</v>
      </c>
      <c r="Z137" s="260">
        <f>IF(AQ137="5",BJ137,0)</f>
        <v>0</v>
      </c>
      <c r="AB137" s="260">
        <f>IF(AQ137="1",BH137,0)</f>
        <v>0</v>
      </c>
      <c r="AC137" s="260">
        <f>IF(AQ137="1",BI137,0)</f>
        <v>0</v>
      </c>
      <c r="AD137" s="260">
        <f>IF(AQ137="7",BH137,0)</f>
        <v>0</v>
      </c>
      <c r="AE137" s="260">
        <f>IF(AQ137="7",BI137,0)</f>
        <v>0</v>
      </c>
      <c r="AF137" s="260">
        <f>IF(AQ137="2",BH137,0)</f>
        <v>0</v>
      </c>
      <c r="AG137" s="260">
        <f>IF(AQ137="2",BI137,0)</f>
        <v>0</v>
      </c>
      <c r="AH137" s="260">
        <f>IF(AQ137="0",BJ137,0)</f>
        <v>0</v>
      </c>
      <c r="AI137" s="242" t="s">
        <v>49</v>
      </c>
      <c r="AJ137" s="260">
        <f>IF(AN137=0,J137,0)</f>
        <v>0</v>
      </c>
      <c r="AK137" s="260">
        <f>IF(AN137=12,J137,0)</f>
        <v>0</v>
      </c>
      <c r="AL137" s="260">
        <f>IF(AN137=21,J137,0)</f>
        <v>0</v>
      </c>
      <c r="AN137" s="260">
        <v>21</v>
      </c>
      <c r="AO137" s="260">
        <f>G137*0</f>
        <v>0</v>
      </c>
      <c r="AP137" s="260">
        <f>G137*(1-0)</f>
        <v>0</v>
      </c>
      <c r="AQ137" s="262" t="s">
        <v>52</v>
      </c>
      <c r="AV137" s="260">
        <f>AW137+AX137</f>
        <v>0</v>
      </c>
      <c r="AW137" s="260">
        <f>F137*AO137</f>
        <v>0</v>
      </c>
      <c r="AX137" s="260">
        <f>F137*AP137</f>
        <v>0</v>
      </c>
      <c r="AY137" s="262" t="s">
        <v>418</v>
      </c>
      <c r="AZ137" s="262" t="s">
        <v>264</v>
      </c>
      <c r="BA137" s="242" t="s">
        <v>57</v>
      </c>
      <c r="BC137" s="260">
        <f>AW137+AX137</f>
        <v>0</v>
      </c>
      <c r="BD137" s="260">
        <f>G137/(100-BE137)*100</f>
        <v>0</v>
      </c>
      <c r="BE137" s="260">
        <v>0</v>
      </c>
      <c r="BF137" s="260">
        <f>148</f>
        <v>148</v>
      </c>
      <c r="BH137" s="260">
        <f>F137*AO137</f>
        <v>0</v>
      </c>
      <c r="BI137" s="260">
        <f>F137*AP137</f>
        <v>0</v>
      </c>
      <c r="BJ137" s="260">
        <f>F137*G137</f>
        <v>0</v>
      </c>
      <c r="BK137" s="260"/>
      <c r="BL137" s="260">
        <v>968</v>
      </c>
      <c r="BW137" s="260">
        <v>21</v>
      </c>
      <c r="BX137" s="263" t="s">
        <v>417</v>
      </c>
    </row>
    <row r="138" spans="1:11" ht="15">
      <c r="A138" s="264"/>
      <c r="C138" s="265" t="s">
        <v>419</v>
      </c>
      <c r="D138" s="265" t="s">
        <v>49</v>
      </c>
      <c r="F138" s="266">
        <v>7</v>
      </c>
      <c r="K138" s="267"/>
    </row>
    <row r="139" spans="1:47" ht="15">
      <c r="A139" s="252" t="s">
        <v>49</v>
      </c>
      <c r="B139" s="253" t="s">
        <v>420</v>
      </c>
      <c r="C139" s="254" t="s">
        <v>421</v>
      </c>
      <c r="D139" s="255"/>
      <c r="E139" s="256" t="s">
        <v>3</v>
      </c>
      <c r="F139" s="256" t="s">
        <v>3</v>
      </c>
      <c r="G139" s="256" t="s">
        <v>3</v>
      </c>
      <c r="H139" s="221">
        <f>SUM(H140:H140)</f>
        <v>0</v>
      </c>
      <c r="I139" s="221">
        <f>SUM(I140:I140)</f>
        <v>0</v>
      </c>
      <c r="J139" s="221">
        <f>SUM(J140:J140)</f>
        <v>0</v>
      </c>
      <c r="K139" s="257" t="s">
        <v>49</v>
      </c>
      <c r="AI139" s="242" t="s">
        <v>49</v>
      </c>
      <c r="AS139" s="221">
        <f>SUM(AJ140:AJ140)</f>
        <v>0</v>
      </c>
      <c r="AT139" s="221">
        <f>SUM(AK140:AK140)</f>
        <v>0</v>
      </c>
      <c r="AU139" s="221">
        <f>SUM(AL140:AL140)</f>
        <v>0</v>
      </c>
    </row>
    <row r="140" spans="1:76" ht="15">
      <c r="A140" s="258">
        <v>57</v>
      </c>
      <c r="B140" s="259" t="s">
        <v>422</v>
      </c>
      <c r="C140" s="232" t="s">
        <v>423</v>
      </c>
      <c r="D140" s="228"/>
      <c r="E140" s="259" t="s">
        <v>78</v>
      </c>
      <c r="F140" s="260">
        <v>1.05</v>
      </c>
      <c r="G140" s="277"/>
      <c r="H140" s="260">
        <f>F140*AO140</f>
        <v>0</v>
      </c>
      <c r="I140" s="260">
        <f>F140*AP140</f>
        <v>0</v>
      </c>
      <c r="J140" s="260">
        <f>F140*G140</f>
        <v>0</v>
      </c>
      <c r="K140" s="261" t="s">
        <v>79</v>
      </c>
      <c r="Z140" s="260">
        <f>IF(AQ140="5",BJ140,0)</f>
        <v>0</v>
      </c>
      <c r="AB140" s="260">
        <f>IF(AQ140="1",BH140,0)</f>
        <v>0</v>
      </c>
      <c r="AC140" s="260">
        <f>IF(AQ140="1",BI140,0)</f>
        <v>0</v>
      </c>
      <c r="AD140" s="260">
        <f>IF(AQ140="7",BH140,0)</f>
        <v>0</v>
      </c>
      <c r="AE140" s="260">
        <f>IF(AQ140="7",BI140,0)</f>
        <v>0</v>
      </c>
      <c r="AF140" s="260">
        <f>IF(AQ140="2",BH140,0)</f>
        <v>0</v>
      </c>
      <c r="AG140" s="260">
        <f>IF(AQ140="2",BI140,0)</f>
        <v>0</v>
      </c>
      <c r="AH140" s="260">
        <f>IF(AQ140="0",BJ140,0)</f>
        <v>0</v>
      </c>
      <c r="AI140" s="242" t="s">
        <v>49</v>
      </c>
      <c r="AJ140" s="260">
        <f>IF(AN140=0,J140,0)</f>
        <v>0</v>
      </c>
      <c r="AK140" s="260">
        <f>IF(AN140=12,J140,0)</f>
        <v>0</v>
      </c>
      <c r="AL140" s="260">
        <f>IF(AN140=21,J140,0)</f>
        <v>0</v>
      </c>
      <c r="AN140" s="260">
        <v>21</v>
      </c>
      <c r="AO140" s="260">
        <f>G140*0</f>
        <v>0</v>
      </c>
      <c r="AP140" s="260">
        <f>G140*(1-0)</f>
        <v>0</v>
      </c>
      <c r="AQ140" s="262" t="s">
        <v>52</v>
      </c>
      <c r="AV140" s="260">
        <f>AW140+AX140</f>
        <v>0</v>
      </c>
      <c r="AW140" s="260">
        <f>F140*AO140</f>
        <v>0</v>
      </c>
      <c r="AX140" s="260">
        <f>F140*AP140</f>
        <v>0</v>
      </c>
      <c r="AY140" s="262" t="s">
        <v>424</v>
      </c>
      <c r="AZ140" s="262" t="s">
        <v>264</v>
      </c>
      <c r="BA140" s="242" t="s">
        <v>57</v>
      </c>
      <c r="BC140" s="260">
        <f>AW140+AX140</f>
        <v>0</v>
      </c>
      <c r="BD140" s="260">
        <f>G140/(100-BE140)*100</f>
        <v>0</v>
      </c>
      <c r="BE140" s="260">
        <v>0</v>
      </c>
      <c r="BF140" s="260">
        <f>151</f>
        <v>151</v>
      </c>
      <c r="BH140" s="260">
        <f>F140*AO140</f>
        <v>0</v>
      </c>
      <c r="BI140" s="260">
        <f>F140*AP140</f>
        <v>0</v>
      </c>
      <c r="BJ140" s="260">
        <f>F140*G140</f>
        <v>0</v>
      </c>
      <c r="BK140" s="260"/>
      <c r="BL140" s="260">
        <v>97</v>
      </c>
      <c r="BW140" s="260">
        <v>21</v>
      </c>
      <c r="BX140" s="263" t="s">
        <v>423</v>
      </c>
    </row>
    <row r="141" spans="1:11" ht="15">
      <c r="A141" s="264"/>
      <c r="C141" s="265" t="s">
        <v>425</v>
      </c>
      <c r="D141" s="265" t="s">
        <v>49</v>
      </c>
      <c r="F141" s="266">
        <v>1.05</v>
      </c>
      <c r="K141" s="267"/>
    </row>
    <row r="142" spans="1:47" ht="15">
      <c r="A142" s="252" t="s">
        <v>49</v>
      </c>
      <c r="B142" s="253" t="s">
        <v>266</v>
      </c>
      <c r="C142" s="254" t="s">
        <v>267</v>
      </c>
      <c r="D142" s="255"/>
      <c r="E142" s="256" t="s">
        <v>3</v>
      </c>
      <c r="F142" s="256" t="s">
        <v>3</v>
      </c>
      <c r="G142" s="256" t="s">
        <v>3</v>
      </c>
      <c r="H142" s="221">
        <f>SUM(H143:H143)</f>
        <v>0</v>
      </c>
      <c r="I142" s="221">
        <f>SUM(I143:I143)</f>
        <v>0</v>
      </c>
      <c r="J142" s="221">
        <f>SUM(J143:J143)</f>
        <v>0</v>
      </c>
      <c r="K142" s="257" t="s">
        <v>49</v>
      </c>
      <c r="AI142" s="242" t="s">
        <v>49</v>
      </c>
      <c r="AS142" s="221">
        <f>SUM(AJ143:AJ143)</f>
        <v>0</v>
      </c>
      <c r="AT142" s="221">
        <f>SUM(AK143:AK143)</f>
        <v>0</v>
      </c>
      <c r="AU142" s="221">
        <f>SUM(AL143:AL143)</f>
        <v>0</v>
      </c>
    </row>
    <row r="143" spans="1:76" ht="15">
      <c r="A143" s="258">
        <v>58</v>
      </c>
      <c r="B143" s="268" t="s">
        <v>268</v>
      </c>
      <c r="C143" s="232" t="s">
        <v>269</v>
      </c>
      <c r="D143" s="228"/>
      <c r="E143" s="259" t="s">
        <v>270</v>
      </c>
      <c r="F143" s="260">
        <v>13.00749</v>
      </c>
      <c r="G143" s="277"/>
      <c r="H143" s="260">
        <f>F143*AO143</f>
        <v>0</v>
      </c>
      <c r="I143" s="260">
        <f>F143*AP143</f>
        <v>0</v>
      </c>
      <c r="J143" s="260">
        <f>F143*G143</f>
        <v>0</v>
      </c>
      <c r="K143" s="261" t="s">
        <v>79</v>
      </c>
      <c r="Z143" s="260">
        <f>IF(AQ143="5",BJ143,0)</f>
        <v>0</v>
      </c>
      <c r="AB143" s="260">
        <f>IF(AQ143="1",BH143,0)</f>
        <v>0</v>
      </c>
      <c r="AC143" s="260">
        <f>IF(AQ143="1",BI143,0)</f>
        <v>0</v>
      </c>
      <c r="AD143" s="260">
        <f>IF(AQ143="7",BH143,0)</f>
        <v>0</v>
      </c>
      <c r="AE143" s="260">
        <f>IF(AQ143="7",BI143,0)</f>
        <v>0</v>
      </c>
      <c r="AF143" s="260">
        <f>IF(AQ143="2",BH143,0)</f>
        <v>0</v>
      </c>
      <c r="AG143" s="260">
        <f>IF(AQ143="2",BI143,0)</f>
        <v>0</v>
      </c>
      <c r="AH143" s="260">
        <f>IF(AQ143="0",BJ143,0)</f>
        <v>0</v>
      </c>
      <c r="AI143" s="242" t="s">
        <v>49</v>
      </c>
      <c r="AJ143" s="260">
        <f>IF(AN143=0,J143,0)</f>
        <v>0</v>
      </c>
      <c r="AK143" s="260">
        <f>IF(AN143=12,J143,0)</f>
        <v>0</v>
      </c>
      <c r="AL143" s="260">
        <f>IF(AN143=21,J143,0)</f>
        <v>0</v>
      </c>
      <c r="AN143" s="260">
        <v>21</v>
      </c>
      <c r="AO143" s="260">
        <f>G143*0</f>
        <v>0</v>
      </c>
      <c r="AP143" s="260">
        <f>G143*(1-0)</f>
        <v>0</v>
      </c>
      <c r="AQ143" s="262" t="s">
        <v>86</v>
      </c>
      <c r="AV143" s="260">
        <f>AW143+AX143</f>
        <v>0</v>
      </c>
      <c r="AW143" s="260">
        <f>F143*AO143</f>
        <v>0</v>
      </c>
      <c r="AX143" s="260">
        <f>F143*AP143</f>
        <v>0</v>
      </c>
      <c r="AY143" s="262" t="s">
        <v>271</v>
      </c>
      <c r="AZ143" s="262" t="s">
        <v>264</v>
      </c>
      <c r="BA143" s="242" t="s">
        <v>57</v>
      </c>
      <c r="BC143" s="260">
        <f>AW143+AX143</f>
        <v>0</v>
      </c>
      <c r="BD143" s="260">
        <f>G143/(100-BE143)*100</f>
        <v>0</v>
      </c>
      <c r="BE143" s="260">
        <v>0</v>
      </c>
      <c r="BF143" s="260">
        <f>154</f>
        <v>154</v>
      </c>
      <c r="BH143" s="260">
        <f>F143*AO143</f>
        <v>0</v>
      </c>
      <c r="BI143" s="260">
        <f>F143*AP143</f>
        <v>0</v>
      </c>
      <c r="BJ143" s="260">
        <f>F143*G143</f>
        <v>0</v>
      </c>
      <c r="BK143" s="260"/>
      <c r="BL143" s="260"/>
      <c r="BW143" s="260">
        <v>21</v>
      </c>
      <c r="BX143" s="263" t="s">
        <v>269</v>
      </c>
    </row>
    <row r="144" spans="1:11" ht="15">
      <c r="A144" s="264"/>
      <c r="C144" s="265" t="s">
        <v>426</v>
      </c>
      <c r="D144" s="265" t="s">
        <v>49</v>
      </c>
      <c r="F144" s="266">
        <v>13.00749</v>
      </c>
      <c r="K144" s="267"/>
    </row>
    <row r="145" spans="1:47" ht="15">
      <c r="A145" s="252" t="s">
        <v>49</v>
      </c>
      <c r="B145" s="253" t="s">
        <v>273</v>
      </c>
      <c r="C145" s="254" t="s">
        <v>274</v>
      </c>
      <c r="D145" s="255"/>
      <c r="E145" s="256" t="s">
        <v>3</v>
      </c>
      <c r="F145" s="256" t="s">
        <v>3</v>
      </c>
      <c r="G145" s="256" t="s">
        <v>3</v>
      </c>
      <c r="H145" s="221">
        <f>SUM(H146:H156)</f>
        <v>0</v>
      </c>
      <c r="I145" s="221">
        <f>SUM(I146:I156)</f>
        <v>0</v>
      </c>
      <c r="J145" s="221">
        <f>SUM(J146:J156)</f>
        <v>0</v>
      </c>
      <c r="K145" s="257" t="s">
        <v>49</v>
      </c>
      <c r="AI145" s="242" t="s">
        <v>49</v>
      </c>
      <c r="AS145" s="221">
        <f>SUM(AJ146:AJ156)</f>
        <v>0</v>
      </c>
      <c r="AT145" s="221">
        <f>SUM(AK146:AK156)</f>
        <v>0</v>
      </c>
      <c r="AU145" s="221">
        <f>SUM(AL146:AL156)</f>
        <v>0</v>
      </c>
    </row>
    <row r="146" spans="1:76" ht="15">
      <c r="A146" s="258">
        <v>59</v>
      </c>
      <c r="B146" s="259" t="s">
        <v>275</v>
      </c>
      <c r="C146" s="232" t="s">
        <v>276</v>
      </c>
      <c r="D146" s="228"/>
      <c r="E146" s="259" t="s">
        <v>270</v>
      </c>
      <c r="F146" s="260">
        <v>0.37667</v>
      </c>
      <c r="G146" s="277"/>
      <c r="H146" s="260">
        <f>F146*AO146</f>
        <v>0</v>
      </c>
      <c r="I146" s="260">
        <f>F146*AP146</f>
        <v>0</v>
      </c>
      <c r="J146" s="260">
        <f>F146*G146</f>
        <v>0</v>
      </c>
      <c r="K146" s="261" t="s">
        <v>79</v>
      </c>
      <c r="Z146" s="260">
        <f>IF(AQ146="5",BJ146,0)</f>
        <v>0</v>
      </c>
      <c r="AB146" s="260">
        <f>IF(AQ146="1",BH146,0)</f>
        <v>0</v>
      </c>
      <c r="AC146" s="260">
        <f>IF(AQ146="1",BI146,0)</f>
        <v>0</v>
      </c>
      <c r="AD146" s="260">
        <f>IF(AQ146="7",BH146,0)</f>
        <v>0</v>
      </c>
      <c r="AE146" s="260">
        <f>IF(AQ146="7",BI146,0)</f>
        <v>0</v>
      </c>
      <c r="AF146" s="260">
        <f>IF(AQ146="2",BH146,0)</f>
        <v>0</v>
      </c>
      <c r="AG146" s="260">
        <f>IF(AQ146="2",BI146,0)</f>
        <v>0</v>
      </c>
      <c r="AH146" s="260">
        <f>IF(AQ146="0",BJ146,0)</f>
        <v>0</v>
      </c>
      <c r="AI146" s="242" t="s">
        <v>49</v>
      </c>
      <c r="AJ146" s="260">
        <f>IF(AN146=0,J146,0)</f>
        <v>0</v>
      </c>
      <c r="AK146" s="260">
        <f>IF(AN146=12,J146,0)</f>
        <v>0</v>
      </c>
      <c r="AL146" s="260">
        <f>IF(AN146=21,J146,0)</f>
        <v>0</v>
      </c>
      <c r="AN146" s="260">
        <v>21</v>
      </c>
      <c r="AO146" s="260">
        <f>G146*0</f>
        <v>0</v>
      </c>
      <c r="AP146" s="260">
        <f>G146*(1-0)</f>
        <v>0</v>
      </c>
      <c r="AQ146" s="262" t="s">
        <v>86</v>
      </c>
      <c r="AV146" s="260">
        <f>AW146+AX146</f>
        <v>0</v>
      </c>
      <c r="AW146" s="260">
        <f>F146*AO146</f>
        <v>0</v>
      </c>
      <c r="AX146" s="260">
        <f>F146*AP146</f>
        <v>0</v>
      </c>
      <c r="AY146" s="262" t="s">
        <v>277</v>
      </c>
      <c r="AZ146" s="262" t="s">
        <v>264</v>
      </c>
      <c r="BA146" s="242" t="s">
        <v>57</v>
      </c>
      <c r="BC146" s="260">
        <f>AW146+AX146</f>
        <v>0</v>
      </c>
      <c r="BD146" s="260">
        <f>G146/(100-BE146)*100</f>
        <v>0</v>
      </c>
      <c r="BE146" s="260">
        <v>0</v>
      </c>
      <c r="BF146" s="260">
        <f>157</f>
        <v>157</v>
      </c>
      <c r="BH146" s="260">
        <f>F146*AO146</f>
        <v>0</v>
      </c>
      <c r="BI146" s="260">
        <f>F146*AP146</f>
        <v>0</v>
      </c>
      <c r="BJ146" s="260">
        <f>F146*G146</f>
        <v>0</v>
      </c>
      <c r="BK146" s="260"/>
      <c r="BL146" s="260"/>
      <c r="BW146" s="260">
        <v>21</v>
      </c>
      <c r="BX146" s="263" t="s">
        <v>276</v>
      </c>
    </row>
    <row r="147" spans="1:11" ht="15">
      <c r="A147" s="264"/>
      <c r="C147" s="265" t="s">
        <v>427</v>
      </c>
      <c r="D147" s="265" t="s">
        <v>49</v>
      </c>
      <c r="F147" s="266">
        <v>0.37667</v>
      </c>
      <c r="K147" s="267"/>
    </row>
    <row r="148" spans="1:76" ht="15">
      <c r="A148" s="258">
        <v>60</v>
      </c>
      <c r="B148" s="259" t="s">
        <v>280</v>
      </c>
      <c r="C148" s="232" t="s">
        <v>281</v>
      </c>
      <c r="D148" s="228"/>
      <c r="E148" s="259" t="s">
        <v>270</v>
      </c>
      <c r="F148" s="260">
        <v>0.37667</v>
      </c>
      <c r="G148" s="277"/>
      <c r="H148" s="260">
        <f>F148*AO148</f>
        <v>0</v>
      </c>
      <c r="I148" s="260">
        <f>F148*AP148</f>
        <v>0</v>
      </c>
      <c r="J148" s="260">
        <f>F148*G148</f>
        <v>0</v>
      </c>
      <c r="K148" s="261" t="s">
        <v>79</v>
      </c>
      <c r="Z148" s="260">
        <f>IF(AQ148="5",BJ148,0)</f>
        <v>0</v>
      </c>
      <c r="AB148" s="260">
        <f>IF(AQ148="1",BH148,0)</f>
        <v>0</v>
      </c>
      <c r="AC148" s="260">
        <f>IF(AQ148="1",BI148,0)</f>
        <v>0</v>
      </c>
      <c r="AD148" s="260">
        <f>IF(AQ148="7",BH148,0)</f>
        <v>0</v>
      </c>
      <c r="AE148" s="260">
        <f>IF(AQ148="7",BI148,0)</f>
        <v>0</v>
      </c>
      <c r="AF148" s="260">
        <f>IF(AQ148="2",BH148,0)</f>
        <v>0</v>
      </c>
      <c r="AG148" s="260">
        <f>IF(AQ148="2",BI148,0)</f>
        <v>0</v>
      </c>
      <c r="AH148" s="260">
        <f>IF(AQ148="0",BJ148,0)</f>
        <v>0</v>
      </c>
      <c r="AI148" s="242" t="s">
        <v>49</v>
      </c>
      <c r="AJ148" s="260">
        <f>IF(AN148=0,J148,0)</f>
        <v>0</v>
      </c>
      <c r="AK148" s="260">
        <f>IF(AN148=12,J148,0)</f>
        <v>0</v>
      </c>
      <c r="AL148" s="260">
        <f>IF(AN148=21,J148,0)</f>
        <v>0</v>
      </c>
      <c r="AN148" s="260">
        <v>21</v>
      </c>
      <c r="AO148" s="260">
        <f>G148*0</f>
        <v>0</v>
      </c>
      <c r="AP148" s="260">
        <f>G148*(1-0)</f>
        <v>0</v>
      </c>
      <c r="AQ148" s="262" t="s">
        <v>86</v>
      </c>
      <c r="AV148" s="260">
        <f>AW148+AX148</f>
        <v>0</v>
      </c>
      <c r="AW148" s="260">
        <f>F148*AO148</f>
        <v>0</v>
      </c>
      <c r="AX148" s="260">
        <f>F148*AP148</f>
        <v>0</v>
      </c>
      <c r="AY148" s="262" t="s">
        <v>277</v>
      </c>
      <c r="AZ148" s="262" t="s">
        <v>264</v>
      </c>
      <c r="BA148" s="242" t="s">
        <v>57</v>
      </c>
      <c r="BC148" s="260">
        <f>AW148+AX148</f>
        <v>0</v>
      </c>
      <c r="BD148" s="260">
        <f>G148/(100-BE148)*100</f>
        <v>0</v>
      </c>
      <c r="BE148" s="260">
        <v>0</v>
      </c>
      <c r="BF148" s="260">
        <f>159</f>
        <v>159</v>
      </c>
      <c r="BH148" s="260">
        <f>F148*AO148</f>
        <v>0</v>
      </c>
      <c r="BI148" s="260">
        <f>F148*AP148</f>
        <v>0</v>
      </c>
      <c r="BJ148" s="260">
        <f>F148*G148</f>
        <v>0</v>
      </c>
      <c r="BK148" s="260"/>
      <c r="BL148" s="260"/>
      <c r="BW148" s="260">
        <v>21</v>
      </c>
      <c r="BX148" s="263" t="s">
        <v>281</v>
      </c>
    </row>
    <row r="149" spans="1:11" ht="15">
      <c r="A149" s="264"/>
      <c r="C149" s="265" t="s">
        <v>427</v>
      </c>
      <c r="D149" s="265" t="s">
        <v>49</v>
      </c>
      <c r="F149" s="266">
        <v>0.37667</v>
      </c>
      <c r="K149" s="267"/>
    </row>
    <row r="150" spans="1:76" ht="15">
      <c r="A150" s="258">
        <v>61</v>
      </c>
      <c r="B150" s="259" t="s">
        <v>282</v>
      </c>
      <c r="C150" s="232" t="s">
        <v>283</v>
      </c>
      <c r="D150" s="228"/>
      <c r="E150" s="259" t="s">
        <v>270</v>
      </c>
      <c r="F150" s="260">
        <v>0.37667</v>
      </c>
      <c r="G150" s="277"/>
      <c r="H150" s="260">
        <f>F150*AO150</f>
        <v>0</v>
      </c>
      <c r="I150" s="260">
        <f>F150*AP150</f>
        <v>0</v>
      </c>
      <c r="J150" s="260">
        <f>F150*G150</f>
        <v>0</v>
      </c>
      <c r="K150" s="261" t="s">
        <v>79</v>
      </c>
      <c r="Z150" s="260">
        <f>IF(AQ150="5",BJ150,0)</f>
        <v>0</v>
      </c>
      <c r="AB150" s="260">
        <f>IF(AQ150="1",BH150,0)</f>
        <v>0</v>
      </c>
      <c r="AC150" s="260">
        <f>IF(AQ150="1",BI150,0)</f>
        <v>0</v>
      </c>
      <c r="AD150" s="260">
        <f>IF(AQ150="7",BH150,0)</f>
        <v>0</v>
      </c>
      <c r="AE150" s="260">
        <f>IF(AQ150="7",BI150,0)</f>
        <v>0</v>
      </c>
      <c r="AF150" s="260">
        <f>IF(AQ150="2",BH150,0)</f>
        <v>0</v>
      </c>
      <c r="AG150" s="260">
        <f>IF(AQ150="2",BI150,0)</f>
        <v>0</v>
      </c>
      <c r="AH150" s="260">
        <f>IF(AQ150="0",BJ150,0)</f>
        <v>0</v>
      </c>
      <c r="AI150" s="242" t="s">
        <v>49</v>
      </c>
      <c r="AJ150" s="260">
        <f>IF(AN150=0,J150,0)</f>
        <v>0</v>
      </c>
      <c r="AK150" s="260">
        <f>IF(AN150=12,J150,0)</f>
        <v>0</v>
      </c>
      <c r="AL150" s="260">
        <f>IF(AN150=21,J150,0)</f>
        <v>0</v>
      </c>
      <c r="AN150" s="260">
        <v>21</v>
      </c>
      <c r="AO150" s="260">
        <f>G150*0</f>
        <v>0</v>
      </c>
      <c r="AP150" s="260">
        <f>G150*(1-0)</f>
        <v>0</v>
      </c>
      <c r="AQ150" s="262" t="s">
        <v>86</v>
      </c>
      <c r="AV150" s="260">
        <f>AW150+AX150</f>
        <v>0</v>
      </c>
      <c r="AW150" s="260">
        <f>F150*AO150</f>
        <v>0</v>
      </c>
      <c r="AX150" s="260">
        <f>F150*AP150</f>
        <v>0</v>
      </c>
      <c r="AY150" s="262" t="s">
        <v>277</v>
      </c>
      <c r="AZ150" s="262" t="s">
        <v>264</v>
      </c>
      <c r="BA150" s="242" t="s">
        <v>57</v>
      </c>
      <c r="BC150" s="260">
        <f>AW150+AX150</f>
        <v>0</v>
      </c>
      <c r="BD150" s="260">
        <f>G150/(100-BE150)*100</f>
        <v>0</v>
      </c>
      <c r="BE150" s="260">
        <v>0</v>
      </c>
      <c r="BF150" s="260">
        <f>161</f>
        <v>161</v>
      </c>
      <c r="BH150" s="260">
        <f>F150*AO150</f>
        <v>0</v>
      </c>
      <c r="BI150" s="260">
        <f>F150*AP150</f>
        <v>0</v>
      </c>
      <c r="BJ150" s="260">
        <f>F150*G150</f>
        <v>0</v>
      </c>
      <c r="BK150" s="260"/>
      <c r="BL150" s="260"/>
      <c r="BW150" s="260">
        <v>21</v>
      </c>
      <c r="BX150" s="263" t="s">
        <v>283</v>
      </c>
    </row>
    <row r="151" spans="1:11" ht="15">
      <c r="A151" s="264"/>
      <c r="C151" s="265" t="s">
        <v>427</v>
      </c>
      <c r="D151" s="265" t="s">
        <v>49</v>
      </c>
      <c r="F151" s="266">
        <v>0.37667</v>
      </c>
      <c r="K151" s="267"/>
    </row>
    <row r="152" spans="1:76" ht="15">
      <c r="A152" s="258">
        <v>62</v>
      </c>
      <c r="B152" s="259" t="s">
        <v>284</v>
      </c>
      <c r="C152" s="232" t="s">
        <v>285</v>
      </c>
      <c r="D152" s="228"/>
      <c r="E152" s="259" t="s">
        <v>270</v>
      </c>
      <c r="F152" s="260">
        <v>0.37667</v>
      </c>
      <c r="G152" s="277"/>
      <c r="H152" s="260">
        <f>F152*AO152</f>
        <v>0</v>
      </c>
      <c r="I152" s="260">
        <f>F152*AP152</f>
        <v>0</v>
      </c>
      <c r="J152" s="260">
        <f>F152*G152</f>
        <v>0</v>
      </c>
      <c r="K152" s="261" t="s">
        <v>79</v>
      </c>
      <c r="Z152" s="260">
        <f>IF(AQ152="5",BJ152,0)</f>
        <v>0</v>
      </c>
      <c r="AB152" s="260">
        <f>IF(AQ152="1",BH152,0)</f>
        <v>0</v>
      </c>
      <c r="AC152" s="260">
        <f>IF(AQ152="1",BI152,0)</f>
        <v>0</v>
      </c>
      <c r="AD152" s="260">
        <f>IF(AQ152="7",BH152,0)</f>
        <v>0</v>
      </c>
      <c r="AE152" s="260">
        <f>IF(AQ152="7",BI152,0)</f>
        <v>0</v>
      </c>
      <c r="AF152" s="260">
        <f>IF(AQ152="2",BH152,0)</f>
        <v>0</v>
      </c>
      <c r="AG152" s="260">
        <f>IF(AQ152="2",BI152,0)</f>
        <v>0</v>
      </c>
      <c r="AH152" s="260">
        <f>IF(AQ152="0",BJ152,0)</f>
        <v>0</v>
      </c>
      <c r="AI152" s="242" t="s">
        <v>49</v>
      </c>
      <c r="AJ152" s="260">
        <f>IF(AN152=0,J152,0)</f>
        <v>0</v>
      </c>
      <c r="AK152" s="260">
        <f>IF(AN152=12,J152,0)</f>
        <v>0</v>
      </c>
      <c r="AL152" s="260">
        <f>IF(AN152=21,J152,0)</f>
        <v>0</v>
      </c>
      <c r="AN152" s="260">
        <v>21</v>
      </c>
      <c r="AO152" s="260">
        <f>G152*0</f>
        <v>0</v>
      </c>
      <c r="AP152" s="260">
        <f>G152*(1-0)</f>
        <v>0</v>
      </c>
      <c r="AQ152" s="262" t="s">
        <v>86</v>
      </c>
      <c r="AV152" s="260">
        <f>AW152+AX152</f>
        <v>0</v>
      </c>
      <c r="AW152" s="260">
        <f>F152*AO152</f>
        <v>0</v>
      </c>
      <c r="AX152" s="260">
        <f>F152*AP152</f>
        <v>0</v>
      </c>
      <c r="AY152" s="262" t="s">
        <v>277</v>
      </c>
      <c r="AZ152" s="262" t="s">
        <v>264</v>
      </c>
      <c r="BA152" s="242" t="s">
        <v>57</v>
      </c>
      <c r="BC152" s="260">
        <f>AW152+AX152</f>
        <v>0</v>
      </c>
      <c r="BD152" s="260">
        <f>G152/(100-BE152)*100</f>
        <v>0</v>
      </c>
      <c r="BE152" s="260">
        <v>0</v>
      </c>
      <c r="BF152" s="260">
        <f>163</f>
        <v>163</v>
      </c>
      <c r="BH152" s="260">
        <f>F152*AO152</f>
        <v>0</v>
      </c>
      <c r="BI152" s="260">
        <f>F152*AP152</f>
        <v>0</v>
      </c>
      <c r="BJ152" s="260">
        <f>F152*G152</f>
        <v>0</v>
      </c>
      <c r="BK152" s="260"/>
      <c r="BL152" s="260"/>
      <c r="BW152" s="260">
        <v>21</v>
      </c>
      <c r="BX152" s="263" t="s">
        <v>285</v>
      </c>
    </row>
    <row r="153" spans="1:11" ht="15">
      <c r="A153" s="264"/>
      <c r="C153" s="265" t="s">
        <v>427</v>
      </c>
      <c r="D153" s="265" t="s">
        <v>49</v>
      </c>
      <c r="F153" s="266">
        <v>0.37667</v>
      </c>
      <c r="K153" s="267"/>
    </row>
    <row r="154" spans="1:76" ht="15">
      <c r="A154" s="258">
        <v>63</v>
      </c>
      <c r="B154" s="259" t="s">
        <v>286</v>
      </c>
      <c r="C154" s="232" t="s">
        <v>287</v>
      </c>
      <c r="D154" s="228"/>
      <c r="E154" s="259" t="s">
        <v>270</v>
      </c>
      <c r="F154" s="260">
        <v>7.15673</v>
      </c>
      <c r="G154" s="277"/>
      <c r="H154" s="260">
        <f>F154*AO154</f>
        <v>0</v>
      </c>
      <c r="I154" s="260">
        <f>F154*AP154</f>
        <v>0</v>
      </c>
      <c r="J154" s="260">
        <f>F154*G154</f>
        <v>0</v>
      </c>
      <c r="K154" s="261" t="s">
        <v>79</v>
      </c>
      <c r="Z154" s="260">
        <f>IF(AQ154="5",BJ154,0)</f>
        <v>0</v>
      </c>
      <c r="AB154" s="260">
        <f>IF(AQ154="1",BH154,0)</f>
        <v>0</v>
      </c>
      <c r="AC154" s="260">
        <f>IF(AQ154="1",BI154,0)</f>
        <v>0</v>
      </c>
      <c r="AD154" s="260">
        <f>IF(AQ154="7",BH154,0)</f>
        <v>0</v>
      </c>
      <c r="AE154" s="260">
        <f>IF(AQ154="7",BI154,0)</f>
        <v>0</v>
      </c>
      <c r="AF154" s="260">
        <f>IF(AQ154="2",BH154,0)</f>
        <v>0</v>
      </c>
      <c r="AG154" s="260">
        <f>IF(AQ154="2",BI154,0)</f>
        <v>0</v>
      </c>
      <c r="AH154" s="260">
        <f>IF(AQ154="0",BJ154,0)</f>
        <v>0</v>
      </c>
      <c r="AI154" s="242" t="s">
        <v>49</v>
      </c>
      <c r="AJ154" s="260">
        <f>IF(AN154=0,J154,0)</f>
        <v>0</v>
      </c>
      <c r="AK154" s="260">
        <f>IF(AN154=12,J154,0)</f>
        <v>0</v>
      </c>
      <c r="AL154" s="260">
        <f>IF(AN154=21,J154,0)</f>
        <v>0</v>
      </c>
      <c r="AN154" s="260">
        <v>21</v>
      </c>
      <c r="AO154" s="260">
        <f>G154*0</f>
        <v>0</v>
      </c>
      <c r="AP154" s="260">
        <f>G154*(1-0)</f>
        <v>0</v>
      </c>
      <c r="AQ154" s="262" t="s">
        <v>86</v>
      </c>
      <c r="AV154" s="260">
        <f>AW154+AX154</f>
        <v>0</v>
      </c>
      <c r="AW154" s="260">
        <f>F154*AO154</f>
        <v>0</v>
      </c>
      <c r="AX154" s="260">
        <f>F154*AP154</f>
        <v>0</v>
      </c>
      <c r="AY154" s="262" t="s">
        <v>277</v>
      </c>
      <c r="AZ154" s="262" t="s">
        <v>264</v>
      </c>
      <c r="BA154" s="242" t="s">
        <v>57</v>
      </c>
      <c r="BC154" s="260">
        <f>AW154+AX154</f>
        <v>0</v>
      </c>
      <c r="BD154" s="260">
        <f>G154/(100-BE154)*100</f>
        <v>0</v>
      </c>
      <c r="BE154" s="260">
        <v>0</v>
      </c>
      <c r="BF154" s="260">
        <f>165</f>
        <v>165</v>
      </c>
      <c r="BH154" s="260">
        <f>F154*AO154</f>
        <v>0</v>
      </c>
      <c r="BI154" s="260">
        <f>F154*AP154</f>
        <v>0</v>
      </c>
      <c r="BJ154" s="260">
        <f>F154*G154</f>
        <v>0</v>
      </c>
      <c r="BK154" s="260"/>
      <c r="BL154" s="260"/>
      <c r="BW154" s="260">
        <v>21</v>
      </c>
      <c r="BX154" s="263" t="s">
        <v>287</v>
      </c>
    </row>
    <row r="155" spans="1:11" ht="15">
      <c r="A155" s="264"/>
      <c r="C155" s="265" t="s">
        <v>428</v>
      </c>
      <c r="D155" s="265" t="s">
        <v>49</v>
      </c>
      <c r="F155" s="266">
        <v>7.15673</v>
      </c>
      <c r="K155" s="267"/>
    </row>
    <row r="156" spans="1:76" ht="15">
      <c r="A156" s="258">
        <v>64</v>
      </c>
      <c r="B156" s="259" t="s">
        <v>289</v>
      </c>
      <c r="C156" s="232" t="s">
        <v>290</v>
      </c>
      <c r="D156" s="228"/>
      <c r="E156" s="259" t="s">
        <v>270</v>
      </c>
      <c r="F156" s="260">
        <v>0.37667</v>
      </c>
      <c r="G156" s="277"/>
      <c r="H156" s="260">
        <f>F156*AO156</f>
        <v>0</v>
      </c>
      <c r="I156" s="260">
        <f>F156*AP156</f>
        <v>0</v>
      </c>
      <c r="J156" s="260">
        <f>F156*G156</f>
        <v>0</v>
      </c>
      <c r="K156" s="261" t="s">
        <v>79</v>
      </c>
      <c r="Z156" s="260">
        <f>IF(AQ156="5",BJ156,0)</f>
        <v>0</v>
      </c>
      <c r="AB156" s="260">
        <f>IF(AQ156="1",BH156,0)</f>
        <v>0</v>
      </c>
      <c r="AC156" s="260">
        <f>IF(AQ156="1",BI156,0)</f>
        <v>0</v>
      </c>
      <c r="AD156" s="260">
        <f>IF(AQ156="7",BH156,0)</f>
        <v>0</v>
      </c>
      <c r="AE156" s="260">
        <f>IF(AQ156="7",BI156,0)</f>
        <v>0</v>
      </c>
      <c r="AF156" s="260">
        <f>IF(AQ156="2",BH156,0)</f>
        <v>0</v>
      </c>
      <c r="AG156" s="260">
        <f>IF(AQ156="2",BI156,0)</f>
        <v>0</v>
      </c>
      <c r="AH156" s="260">
        <f>IF(AQ156="0",BJ156,0)</f>
        <v>0</v>
      </c>
      <c r="AI156" s="242" t="s">
        <v>49</v>
      </c>
      <c r="AJ156" s="260">
        <f>IF(AN156=0,J156,0)</f>
        <v>0</v>
      </c>
      <c r="AK156" s="260">
        <f>IF(AN156=12,J156,0)</f>
        <v>0</v>
      </c>
      <c r="AL156" s="260">
        <f>IF(AN156=21,J156,0)</f>
        <v>0</v>
      </c>
      <c r="AN156" s="260">
        <v>21</v>
      </c>
      <c r="AO156" s="260">
        <f>G156*0</f>
        <v>0</v>
      </c>
      <c r="AP156" s="260">
        <f>G156*(1-0)</f>
        <v>0</v>
      </c>
      <c r="AQ156" s="262" t="s">
        <v>86</v>
      </c>
      <c r="AV156" s="260">
        <f>AW156+AX156</f>
        <v>0</v>
      </c>
      <c r="AW156" s="260">
        <f>F156*AO156</f>
        <v>0</v>
      </c>
      <c r="AX156" s="260">
        <f>F156*AP156</f>
        <v>0</v>
      </c>
      <c r="AY156" s="262" t="s">
        <v>277</v>
      </c>
      <c r="AZ156" s="262" t="s">
        <v>264</v>
      </c>
      <c r="BA156" s="242" t="s">
        <v>57</v>
      </c>
      <c r="BC156" s="260">
        <f>AW156+AX156</f>
        <v>0</v>
      </c>
      <c r="BD156" s="260">
        <f>G156/(100-BE156)*100</f>
        <v>0</v>
      </c>
      <c r="BE156" s="260">
        <v>0</v>
      </c>
      <c r="BF156" s="260">
        <f>167</f>
        <v>167</v>
      </c>
      <c r="BH156" s="260">
        <f>F156*AO156</f>
        <v>0</v>
      </c>
      <c r="BI156" s="260">
        <f>F156*AP156</f>
        <v>0</v>
      </c>
      <c r="BJ156" s="260">
        <f>F156*G156</f>
        <v>0</v>
      </c>
      <c r="BK156" s="260"/>
      <c r="BL156" s="260"/>
      <c r="BW156" s="260">
        <v>21</v>
      </c>
      <c r="BX156" s="263" t="s">
        <v>290</v>
      </c>
    </row>
    <row r="157" spans="1:11" ht="15">
      <c r="A157" s="264"/>
      <c r="C157" s="265" t="s">
        <v>427</v>
      </c>
      <c r="D157" s="265" t="s">
        <v>49</v>
      </c>
      <c r="F157" s="266">
        <v>0.37667</v>
      </c>
      <c r="K157" s="267"/>
    </row>
    <row r="158" spans="1:47" ht="15">
      <c r="A158" s="252" t="s">
        <v>49</v>
      </c>
      <c r="B158" s="253" t="s">
        <v>188</v>
      </c>
      <c r="C158" s="254" t="s">
        <v>429</v>
      </c>
      <c r="D158" s="255"/>
      <c r="E158" s="256" t="s">
        <v>3</v>
      </c>
      <c r="F158" s="256" t="s">
        <v>3</v>
      </c>
      <c r="G158" s="256" t="s">
        <v>3</v>
      </c>
      <c r="H158" s="221">
        <f>SUM(H159:H159)</f>
        <v>0</v>
      </c>
      <c r="I158" s="221">
        <f>SUM(I159:I159)</f>
        <v>0</v>
      </c>
      <c r="J158" s="221">
        <f>SUM(J159:J159)</f>
        <v>0</v>
      </c>
      <c r="K158" s="257" t="s">
        <v>49</v>
      </c>
      <c r="AI158" s="242" t="s">
        <v>49</v>
      </c>
      <c r="AS158" s="221">
        <f>SUM(AJ159:AJ159)</f>
        <v>0</v>
      </c>
      <c r="AT158" s="221">
        <f>SUM(AK159:AK159)</f>
        <v>0</v>
      </c>
      <c r="AU158" s="221">
        <f>SUM(AL159:AL159)</f>
        <v>0</v>
      </c>
    </row>
    <row r="159" spans="1:76" ht="15">
      <c r="A159" s="258">
        <v>65</v>
      </c>
      <c r="B159" s="259" t="s">
        <v>430</v>
      </c>
      <c r="C159" s="232" t="s">
        <v>431</v>
      </c>
      <c r="D159" s="228"/>
      <c r="E159" s="259" t="s">
        <v>222</v>
      </c>
      <c r="F159" s="260">
        <v>4.2</v>
      </c>
      <c r="G159" s="277"/>
      <c r="H159" s="260">
        <f>F159*AO159</f>
        <v>0</v>
      </c>
      <c r="I159" s="260">
        <f>F159*AP159</f>
        <v>0</v>
      </c>
      <c r="J159" s="260">
        <f>F159*G159</f>
        <v>0</v>
      </c>
      <c r="K159" s="261" t="s">
        <v>79</v>
      </c>
      <c r="Z159" s="260">
        <f>IF(AQ159="5",BJ159,0)</f>
        <v>0</v>
      </c>
      <c r="AB159" s="260">
        <f>IF(AQ159="1",BH159,0)</f>
        <v>0</v>
      </c>
      <c r="AC159" s="260">
        <f>IF(AQ159="1",BI159,0)</f>
        <v>0</v>
      </c>
      <c r="AD159" s="260">
        <f>IF(AQ159="7",BH159,0)</f>
        <v>0</v>
      </c>
      <c r="AE159" s="260">
        <f>IF(AQ159="7",BI159,0)</f>
        <v>0</v>
      </c>
      <c r="AF159" s="260">
        <f>IF(AQ159="2",BH159,0)</f>
        <v>0</v>
      </c>
      <c r="AG159" s="260">
        <f>IF(AQ159="2",BI159,0)</f>
        <v>0</v>
      </c>
      <c r="AH159" s="260">
        <f>IF(AQ159="0",BJ159,0)</f>
        <v>0</v>
      </c>
      <c r="AI159" s="242" t="s">
        <v>49</v>
      </c>
      <c r="AJ159" s="260">
        <f>IF(AN159=0,J159,0)</f>
        <v>0</v>
      </c>
      <c r="AK159" s="260">
        <f>IF(AN159=12,J159,0)</f>
        <v>0</v>
      </c>
      <c r="AL159" s="260">
        <f>IF(AN159=21,J159,0)</f>
        <v>0</v>
      </c>
      <c r="AN159" s="260">
        <v>21</v>
      </c>
      <c r="AO159" s="260">
        <f>G159*0.389706303</f>
        <v>0</v>
      </c>
      <c r="AP159" s="260">
        <f>G159*(1-0.389706303)</f>
        <v>0</v>
      </c>
      <c r="AQ159" s="262" t="s">
        <v>52</v>
      </c>
      <c r="AV159" s="260">
        <f>AW159+AX159</f>
        <v>0</v>
      </c>
      <c r="AW159" s="260">
        <f>F159*AO159</f>
        <v>0</v>
      </c>
      <c r="AX159" s="260">
        <f>F159*AP159</f>
        <v>0</v>
      </c>
      <c r="AY159" s="262" t="s">
        <v>432</v>
      </c>
      <c r="AZ159" s="262" t="s">
        <v>433</v>
      </c>
      <c r="BA159" s="242" t="s">
        <v>57</v>
      </c>
      <c r="BC159" s="260">
        <f>AW159+AX159</f>
        <v>0</v>
      </c>
      <c r="BD159" s="260">
        <f>G159/(100-BE159)*100</f>
        <v>0</v>
      </c>
      <c r="BE159" s="260">
        <v>0</v>
      </c>
      <c r="BF159" s="260">
        <f>170</f>
        <v>170</v>
      </c>
      <c r="BH159" s="260">
        <f>F159*AO159</f>
        <v>0</v>
      </c>
      <c r="BI159" s="260">
        <f>F159*AP159</f>
        <v>0</v>
      </c>
      <c r="BJ159" s="260">
        <f>F159*G159</f>
        <v>0</v>
      </c>
      <c r="BK159" s="260"/>
      <c r="BL159" s="260">
        <v>41</v>
      </c>
      <c r="BW159" s="260">
        <v>21</v>
      </c>
      <c r="BX159" s="263" t="s">
        <v>431</v>
      </c>
    </row>
    <row r="160" spans="1:11" ht="15">
      <c r="A160" s="264"/>
      <c r="C160" s="265" t="s">
        <v>434</v>
      </c>
      <c r="D160" s="265" t="s">
        <v>49</v>
      </c>
      <c r="F160" s="266">
        <v>4.2</v>
      </c>
      <c r="K160" s="267"/>
    </row>
    <row r="161" spans="1:47" ht="15">
      <c r="A161" s="252" t="s">
        <v>49</v>
      </c>
      <c r="B161" s="253" t="s">
        <v>279</v>
      </c>
      <c r="C161" s="254" t="s">
        <v>435</v>
      </c>
      <c r="D161" s="255"/>
      <c r="E161" s="256" t="s">
        <v>3</v>
      </c>
      <c r="F161" s="256" t="s">
        <v>3</v>
      </c>
      <c r="G161" s="256" t="s">
        <v>3</v>
      </c>
      <c r="H161" s="221">
        <f>SUM(H162:H162)</f>
        <v>0</v>
      </c>
      <c r="I161" s="221">
        <f>SUM(I162:I162)</f>
        <v>0</v>
      </c>
      <c r="J161" s="221">
        <f>SUM(J162:J162)</f>
        <v>0</v>
      </c>
      <c r="K161" s="257" t="s">
        <v>49</v>
      </c>
      <c r="AI161" s="242" t="s">
        <v>49</v>
      </c>
      <c r="AS161" s="221">
        <f>SUM(AJ162:AJ162)</f>
        <v>0</v>
      </c>
      <c r="AT161" s="221">
        <f>SUM(AK162:AK162)</f>
        <v>0</v>
      </c>
      <c r="AU161" s="221">
        <f>SUM(AL162:AL162)</f>
        <v>0</v>
      </c>
    </row>
    <row r="162" spans="1:76" ht="15">
      <c r="A162" s="258">
        <v>66</v>
      </c>
      <c r="B162" s="259" t="s">
        <v>436</v>
      </c>
      <c r="C162" s="232" t="s">
        <v>437</v>
      </c>
      <c r="D162" s="228"/>
      <c r="E162" s="259" t="s">
        <v>78</v>
      </c>
      <c r="F162" s="260">
        <v>1.05</v>
      </c>
      <c r="G162" s="277"/>
      <c r="H162" s="260">
        <f>F162*AO162</f>
        <v>0</v>
      </c>
      <c r="I162" s="260">
        <f>F162*AP162</f>
        <v>0</v>
      </c>
      <c r="J162" s="260">
        <f>F162*G162</f>
        <v>0</v>
      </c>
      <c r="K162" s="261" t="s">
        <v>79</v>
      </c>
      <c r="Z162" s="260">
        <f>IF(AQ162="5",BJ162,0)</f>
        <v>0</v>
      </c>
      <c r="AB162" s="260">
        <f>IF(AQ162="1",BH162,0)</f>
        <v>0</v>
      </c>
      <c r="AC162" s="260">
        <f>IF(AQ162="1",BI162,0)</f>
        <v>0</v>
      </c>
      <c r="AD162" s="260">
        <f>IF(AQ162="7",BH162,0)</f>
        <v>0</v>
      </c>
      <c r="AE162" s="260">
        <f>IF(AQ162="7",BI162,0)</f>
        <v>0</v>
      </c>
      <c r="AF162" s="260">
        <f>IF(AQ162="2",BH162,0)</f>
        <v>0</v>
      </c>
      <c r="AG162" s="260">
        <f>IF(AQ162="2",BI162,0)</f>
        <v>0</v>
      </c>
      <c r="AH162" s="260">
        <f>IF(AQ162="0",BJ162,0)</f>
        <v>0</v>
      </c>
      <c r="AI162" s="242" t="s">
        <v>49</v>
      </c>
      <c r="AJ162" s="260">
        <f>IF(AN162=0,J162,0)</f>
        <v>0</v>
      </c>
      <c r="AK162" s="260">
        <f>IF(AN162=12,J162,0)</f>
        <v>0</v>
      </c>
      <c r="AL162" s="260">
        <f>IF(AN162=21,J162,0)</f>
        <v>0</v>
      </c>
      <c r="AN162" s="260">
        <v>21</v>
      </c>
      <c r="AO162" s="260">
        <f>G162*0.479494681</f>
        <v>0</v>
      </c>
      <c r="AP162" s="260">
        <f>G162*(1-0.479494681)</f>
        <v>0</v>
      </c>
      <c r="AQ162" s="262" t="s">
        <v>52</v>
      </c>
      <c r="AV162" s="260">
        <f>AW162+AX162</f>
        <v>0</v>
      </c>
      <c r="AW162" s="260">
        <f>F162*AO162</f>
        <v>0</v>
      </c>
      <c r="AX162" s="260">
        <f>F162*AP162</f>
        <v>0</v>
      </c>
      <c r="AY162" s="262" t="s">
        <v>438</v>
      </c>
      <c r="AZ162" s="262" t="s">
        <v>439</v>
      </c>
      <c r="BA162" s="242" t="s">
        <v>57</v>
      </c>
      <c r="BC162" s="260">
        <f>AW162+AX162</f>
        <v>0</v>
      </c>
      <c r="BD162" s="260">
        <f>G162/(100-BE162)*100</f>
        <v>0</v>
      </c>
      <c r="BE162" s="260">
        <v>0</v>
      </c>
      <c r="BF162" s="260">
        <f>173</f>
        <v>173</v>
      </c>
      <c r="BH162" s="260">
        <f>F162*AO162</f>
        <v>0</v>
      </c>
      <c r="BI162" s="260">
        <f>F162*AP162</f>
        <v>0</v>
      </c>
      <c r="BJ162" s="260">
        <f>F162*G162</f>
        <v>0</v>
      </c>
      <c r="BK162" s="260"/>
      <c r="BL162" s="260">
        <v>60</v>
      </c>
      <c r="BW162" s="260">
        <v>21</v>
      </c>
      <c r="BX162" s="263" t="s">
        <v>437</v>
      </c>
    </row>
    <row r="163" spans="1:11" ht="15">
      <c r="A163" s="264"/>
      <c r="C163" s="265" t="s">
        <v>440</v>
      </c>
      <c r="D163" s="265" t="s">
        <v>49</v>
      </c>
      <c r="F163" s="266">
        <v>1.05</v>
      </c>
      <c r="K163" s="267"/>
    </row>
    <row r="164" spans="1:47" ht="15">
      <c r="A164" s="252" t="s">
        <v>49</v>
      </c>
      <c r="B164" s="253" t="s">
        <v>291</v>
      </c>
      <c r="C164" s="254" t="s">
        <v>292</v>
      </c>
      <c r="D164" s="255"/>
      <c r="E164" s="256" t="s">
        <v>3</v>
      </c>
      <c r="F164" s="256" t="s">
        <v>3</v>
      </c>
      <c r="G164" s="256" t="s">
        <v>3</v>
      </c>
      <c r="H164" s="221">
        <f>SUM(H165:H166)</f>
        <v>0</v>
      </c>
      <c r="I164" s="221">
        <f>SUM(I165:I166)</f>
        <v>0</v>
      </c>
      <c r="J164" s="221">
        <f>SUM(J165:J166)</f>
        <v>0</v>
      </c>
      <c r="K164" s="257" t="s">
        <v>49</v>
      </c>
      <c r="AI164" s="242" t="s">
        <v>49</v>
      </c>
      <c r="AS164" s="221">
        <f>SUM(AJ165:AJ166)</f>
        <v>0</v>
      </c>
      <c r="AT164" s="221">
        <f>SUM(AK165:AK166)</f>
        <v>0</v>
      </c>
      <c r="AU164" s="221">
        <f>SUM(AL165:AL166)</f>
        <v>0</v>
      </c>
    </row>
    <row r="165" spans="1:76" ht="15">
      <c r="A165" s="258">
        <v>67</v>
      </c>
      <c r="B165" s="259" t="s">
        <v>293</v>
      </c>
      <c r="C165" s="232" t="s">
        <v>294</v>
      </c>
      <c r="D165" s="228"/>
      <c r="E165" s="259" t="s">
        <v>295</v>
      </c>
      <c r="F165" s="260">
        <v>3.25</v>
      </c>
      <c r="G165" s="277"/>
      <c r="H165" s="260">
        <f>F165*AO165</f>
        <v>0</v>
      </c>
      <c r="I165" s="260">
        <f>F165*AP165</f>
        <v>0</v>
      </c>
      <c r="J165" s="260">
        <f>F165*G165</f>
        <v>0</v>
      </c>
      <c r="K165" s="261" t="s">
        <v>49</v>
      </c>
      <c r="Z165" s="260">
        <f>IF(AQ165="5",BJ165,0)</f>
        <v>0</v>
      </c>
      <c r="AB165" s="260">
        <f>IF(AQ165="1",BH165,0)</f>
        <v>0</v>
      </c>
      <c r="AC165" s="260">
        <f>IF(AQ165="1",BI165,0)</f>
        <v>0</v>
      </c>
      <c r="AD165" s="260">
        <f>IF(AQ165="7",BH165,0)</f>
        <v>0</v>
      </c>
      <c r="AE165" s="260">
        <f>IF(AQ165="7",BI165,0)</f>
        <v>0</v>
      </c>
      <c r="AF165" s="260">
        <f>IF(AQ165="2",BH165,0)</f>
        <v>0</v>
      </c>
      <c r="AG165" s="260">
        <f>IF(AQ165="2",BI165,0)</f>
        <v>0</v>
      </c>
      <c r="AH165" s="260">
        <f>IF(AQ165="0",BJ165,0)</f>
        <v>0</v>
      </c>
      <c r="AI165" s="242" t="s">
        <v>49</v>
      </c>
      <c r="AJ165" s="260">
        <f>IF(AN165=0,J165,0)</f>
        <v>0</v>
      </c>
      <c r="AK165" s="260">
        <f>IF(AN165=12,J165,0)</f>
        <v>0</v>
      </c>
      <c r="AL165" s="260">
        <f>IF(AN165=21,J165,0)</f>
        <v>0</v>
      </c>
      <c r="AN165" s="260">
        <v>21</v>
      </c>
      <c r="AO165" s="260">
        <f>G165*0</f>
        <v>0</v>
      </c>
      <c r="AP165" s="260">
        <f>G165*(1-0)</f>
        <v>0</v>
      </c>
      <c r="AQ165" s="262" t="s">
        <v>52</v>
      </c>
      <c r="AV165" s="260">
        <f>AW165+AX165</f>
        <v>0</v>
      </c>
      <c r="AW165" s="260">
        <f>F165*AO165</f>
        <v>0</v>
      </c>
      <c r="AX165" s="260">
        <f>F165*AP165</f>
        <v>0</v>
      </c>
      <c r="AY165" s="262" t="s">
        <v>296</v>
      </c>
      <c r="AZ165" s="262" t="s">
        <v>56</v>
      </c>
      <c r="BA165" s="242" t="s">
        <v>57</v>
      </c>
      <c r="BC165" s="260">
        <f>AW165+AX165</f>
        <v>0</v>
      </c>
      <c r="BD165" s="260">
        <f>G165/(100-BE165)*100</f>
        <v>0</v>
      </c>
      <c r="BE165" s="260">
        <v>0</v>
      </c>
      <c r="BF165" s="260">
        <f>176</f>
        <v>176</v>
      </c>
      <c r="BH165" s="260">
        <f>F165*AO165</f>
        <v>0</v>
      </c>
      <c r="BI165" s="260">
        <f>F165*AP165</f>
        <v>0</v>
      </c>
      <c r="BJ165" s="260">
        <f>F165*G165</f>
        <v>0</v>
      </c>
      <c r="BK165" s="260"/>
      <c r="BL165" s="260"/>
      <c r="BW165" s="260">
        <v>21</v>
      </c>
      <c r="BX165" s="263" t="s">
        <v>294</v>
      </c>
    </row>
    <row r="166" spans="1:76" ht="15">
      <c r="A166" s="270">
        <v>68</v>
      </c>
      <c r="B166" s="271" t="s">
        <v>297</v>
      </c>
      <c r="C166" s="272" t="s">
        <v>298</v>
      </c>
      <c r="D166" s="273"/>
      <c r="E166" s="271" t="s">
        <v>295</v>
      </c>
      <c r="F166" s="274">
        <v>1.6</v>
      </c>
      <c r="G166" s="278"/>
      <c r="H166" s="274">
        <f>F166*AO166</f>
        <v>0</v>
      </c>
      <c r="I166" s="274">
        <f>F166*AP166</f>
        <v>0</v>
      </c>
      <c r="J166" s="274">
        <f>F166*G166</f>
        <v>0</v>
      </c>
      <c r="K166" s="275" t="s">
        <v>49</v>
      </c>
      <c r="Z166" s="260">
        <f>IF(AQ166="5",BJ166,0)</f>
        <v>0</v>
      </c>
      <c r="AB166" s="260">
        <f>IF(AQ166="1",BH166,0)</f>
        <v>0</v>
      </c>
      <c r="AC166" s="260">
        <f>IF(AQ166="1",BI166,0)</f>
        <v>0</v>
      </c>
      <c r="AD166" s="260">
        <f>IF(AQ166="7",BH166,0)</f>
        <v>0</v>
      </c>
      <c r="AE166" s="260">
        <f>IF(AQ166="7",BI166,0)</f>
        <v>0</v>
      </c>
      <c r="AF166" s="260">
        <f>IF(AQ166="2",BH166,0)</f>
        <v>0</v>
      </c>
      <c r="AG166" s="260">
        <f>IF(AQ166="2",BI166,0)</f>
        <v>0</v>
      </c>
      <c r="AH166" s="260">
        <f>IF(AQ166="0",BJ166,0)</f>
        <v>0</v>
      </c>
      <c r="AI166" s="242" t="s">
        <v>49</v>
      </c>
      <c r="AJ166" s="260">
        <f>IF(AN166=0,J166,0)</f>
        <v>0</v>
      </c>
      <c r="AK166" s="260">
        <f>IF(AN166=12,J166,0)</f>
        <v>0</v>
      </c>
      <c r="AL166" s="260">
        <f>IF(AN166=21,J166,0)</f>
        <v>0</v>
      </c>
      <c r="AN166" s="260">
        <v>21</v>
      </c>
      <c r="AO166" s="260">
        <f>G166*0</f>
        <v>0</v>
      </c>
      <c r="AP166" s="260">
        <f>G166*(1-0)</f>
        <v>0</v>
      </c>
      <c r="AQ166" s="262" t="s">
        <v>52</v>
      </c>
      <c r="AV166" s="260">
        <f>AW166+AX166</f>
        <v>0</v>
      </c>
      <c r="AW166" s="260">
        <f>F166*AO166</f>
        <v>0</v>
      </c>
      <c r="AX166" s="260">
        <f>F166*AP166</f>
        <v>0</v>
      </c>
      <c r="AY166" s="262" t="s">
        <v>296</v>
      </c>
      <c r="AZ166" s="262" t="s">
        <v>56</v>
      </c>
      <c r="BA166" s="242" t="s">
        <v>57</v>
      </c>
      <c r="BC166" s="260">
        <f>AW166+AX166</f>
        <v>0</v>
      </c>
      <c r="BD166" s="260">
        <f>G166/(100-BE166)*100</f>
        <v>0</v>
      </c>
      <c r="BE166" s="260">
        <v>0</v>
      </c>
      <c r="BF166" s="260">
        <f>177</f>
        <v>177</v>
      </c>
      <c r="BH166" s="260">
        <f>F166*AO166</f>
        <v>0</v>
      </c>
      <c r="BI166" s="260">
        <f>F166*AP166</f>
        <v>0</v>
      </c>
      <c r="BJ166" s="260">
        <f>F166*G166</f>
        <v>0</v>
      </c>
      <c r="BK166" s="260"/>
      <c r="BL166" s="260"/>
      <c r="BW166" s="260">
        <v>21</v>
      </c>
      <c r="BX166" s="263" t="s">
        <v>298</v>
      </c>
    </row>
    <row r="167" spans="8:10" ht="15">
      <c r="H167" s="229" t="s">
        <v>299</v>
      </c>
      <c r="I167" s="229"/>
      <c r="J167" s="276">
        <f>J8+J15+J70+J93+J98+J102+J108+J122+J131+J136+J139+J142+J145+J158+J161+J164</f>
        <v>0</v>
      </c>
    </row>
  </sheetData>
  <sheetProtection algorithmName="SHA-512" hashValue="I1TQBAJbZHdDqld1Ul4t8rXeC/BvfM/y9brvYO2uObCJku/HVV/9b+q2Ns9LcOnly500JusdtO9IenjUOeasCw==" saltValue="NiA2KvXHo62uUe8xJ6uHuw==" spinCount="100000" sheet="1"/>
  <mergeCells count="105">
    <mergeCell ref="H167:I167"/>
    <mergeCell ref="C159:D159"/>
    <mergeCell ref="C161:D161"/>
    <mergeCell ref="C162:D162"/>
    <mergeCell ref="C164:D164"/>
    <mergeCell ref="C165:D165"/>
    <mergeCell ref="C166:D166"/>
    <mergeCell ref="C148:D148"/>
    <mergeCell ref="C150:D150"/>
    <mergeCell ref="C152:D152"/>
    <mergeCell ref="C154:D154"/>
    <mergeCell ref="C156:D156"/>
    <mergeCell ref="C158:D158"/>
    <mergeCell ref="C139:D139"/>
    <mergeCell ref="C140:D140"/>
    <mergeCell ref="C142:D142"/>
    <mergeCell ref="C143:D143"/>
    <mergeCell ref="C145:D145"/>
    <mergeCell ref="C146:D146"/>
    <mergeCell ref="C127:D127"/>
    <mergeCell ref="C129:D129"/>
    <mergeCell ref="C131:D131"/>
    <mergeCell ref="C132:D132"/>
    <mergeCell ref="C136:D136"/>
    <mergeCell ref="C137:D137"/>
    <mergeCell ref="C115:D115"/>
    <mergeCell ref="C118:D118"/>
    <mergeCell ref="C120:D120"/>
    <mergeCell ref="C122:D122"/>
    <mergeCell ref="C123:D123"/>
    <mergeCell ref="C125:D125"/>
    <mergeCell ref="C109:D109"/>
    <mergeCell ref="C111:D111"/>
    <mergeCell ref="C113:D113"/>
    <mergeCell ref="C98:D98"/>
    <mergeCell ref="C99:D99"/>
    <mergeCell ref="C102:D102"/>
    <mergeCell ref="C103:D103"/>
    <mergeCell ref="C105:D105"/>
    <mergeCell ref="C108:D108"/>
    <mergeCell ref="C86:D86"/>
    <mergeCell ref="C89:D89"/>
    <mergeCell ref="C91:D91"/>
    <mergeCell ref="C93:D93"/>
    <mergeCell ref="C94:D94"/>
    <mergeCell ref="C96:D96"/>
    <mergeCell ref="C71:D71"/>
    <mergeCell ref="C73:D73"/>
    <mergeCell ref="C76:D76"/>
    <mergeCell ref="C78:D78"/>
    <mergeCell ref="C81:D81"/>
    <mergeCell ref="C83:D83"/>
    <mergeCell ref="C60:D60"/>
    <mergeCell ref="C62:D62"/>
    <mergeCell ref="C64:D64"/>
    <mergeCell ref="C66:D66"/>
    <mergeCell ref="C68:D68"/>
    <mergeCell ref="C70:D70"/>
    <mergeCell ref="C48:D48"/>
    <mergeCell ref="C50:D50"/>
    <mergeCell ref="C52:D52"/>
    <mergeCell ref="C54:D54"/>
    <mergeCell ref="C56:D56"/>
    <mergeCell ref="C58:D58"/>
    <mergeCell ref="C36:D36"/>
    <mergeCell ref="C38:D38"/>
    <mergeCell ref="C40:D40"/>
    <mergeCell ref="C42:D42"/>
    <mergeCell ref="C44:D44"/>
    <mergeCell ref="C46:D46"/>
    <mergeCell ref="C24:D24"/>
    <mergeCell ref="C26:D26"/>
    <mergeCell ref="C28:D28"/>
    <mergeCell ref="C30:D30"/>
    <mergeCell ref="C32:D32"/>
    <mergeCell ref="C34:D34"/>
    <mergeCell ref="C13:D13"/>
    <mergeCell ref="C15:D15"/>
    <mergeCell ref="C16:D16"/>
    <mergeCell ref="C18:D18"/>
    <mergeCell ref="C20:D20"/>
    <mergeCell ref="C22:D22"/>
    <mergeCell ref="C6:D6"/>
    <mergeCell ref="H6:J6"/>
    <mergeCell ref="C7:D7"/>
    <mergeCell ref="C8:D8"/>
    <mergeCell ref="C9:D9"/>
    <mergeCell ref="C11:D11"/>
    <mergeCell ref="A5:B5"/>
    <mergeCell ref="C5:D5"/>
    <mergeCell ref="E5:F5"/>
    <mergeCell ref="I5:K5"/>
    <mergeCell ref="A4:B4"/>
    <mergeCell ref="C4:D4"/>
    <mergeCell ref="E4:F4"/>
    <mergeCell ref="I4:K4"/>
    <mergeCell ref="A3:B3"/>
    <mergeCell ref="C3:D3"/>
    <mergeCell ref="E3:F3"/>
    <mergeCell ref="I3:K3"/>
    <mergeCell ref="A1:K1"/>
    <mergeCell ref="A2:B2"/>
    <mergeCell ref="C2:D2"/>
    <mergeCell ref="E2:F2"/>
    <mergeCell ref="I2:K2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workbookViewId="0" topLeftCell="A1">
      <selection activeCell="A36" sqref="A36:E36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4.75" customHeight="1">
      <c r="A1" s="26" t="s">
        <v>343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7" t="s">
        <v>1</v>
      </c>
      <c r="B2" s="13"/>
      <c r="C2" s="20" t="str">
        <f>'Stavební rozpočet SO01'!C2</f>
        <v>B2101 ZŠ JANOV - Stavební úpravy střech pavilonu A a B</v>
      </c>
      <c r="D2" s="21"/>
      <c r="E2" s="12" t="s">
        <v>4</v>
      </c>
      <c r="F2" s="12" t="str">
        <f>'Stavební rozpočet SO01'!I2</f>
        <v>Město Litvínov</v>
      </c>
      <c r="G2" s="13"/>
      <c r="H2" s="12" t="s">
        <v>302</v>
      </c>
      <c r="I2" s="14" t="s">
        <v>49</v>
      </c>
    </row>
    <row r="3" spans="1:9" ht="15" customHeight="1">
      <c r="A3" s="18"/>
      <c r="B3" s="10"/>
      <c r="C3" s="22"/>
      <c r="D3" s="22"/>
      <c r="E3" s="10"/>
      <c r="F3" s="10"/>
      <c r="G3" s="10"/>
      <c r="H3" s="10"/>
      <c r="I3" s="15"/>
    </row>
    <row r="4" spans="1:9" ht="15">
      <c r="A4" s="19" t="s">
        <v>6</v>
      </c>
      <c r="B4" s="10"/>
      <c r="C4" s="9" t="str">
        <f>'Stavební rozpočet SO01'!C3</f>
        <v>SO 01- PAVILON A, pozemek p.č. 344/1 k.ú. Janov u Litvínova</v>
      </c>
      <c r="D4" s="10"/>
      <c r="E4" s="9" t="s">
        <v>9</v>
      </c>
      <c r="F4" s="9" t="str">
        <f>'Stavební rozpočet SO01'!I3</f>
        <v>SDP LITVÍNOV, spol. s r.o.</v>
      </c>
      <c r="G4" s="10"/>
      <c r="H4" s="9" t="s">
        <v>302</v>
      </c>
      <c r="I4" s="15" t="s">
        <v>49</v>
      </c>
    </row>
    <row r="5" spans="1:9" ht="15" customHeight="1">
      <c r="A5" s="18"/>
      <c r="B5" s="10"/>
      <c r="C5" s="10"/>
      <c r="D5" s="10"/>
      <c r="E5" s="10"/>
      <c r="F5" s="10"/>
      <c r="G5" s="10"/>
      <c r="H5" s="10"/>
      <c r="I5" s="15"/>
    </row>
    <row r="6" spans="1:9" ht="15">
      <c r="A6" s="19" t="s">
        <v>11</v>
      </c>
      <c r="B6" s="10"/>
      <c r="C6" s="9" t="str">
        <f>'Stavební rozpočet SO01'!C4</f>
        <v>pozemek  p.č. 344/1, v k.ú. Janov u Litvínova</v>
      </c>
      <c r="D6" s="10"/>
      <c r="E6" s="9" t="s">
        <v>14</v>
      </c>
      <c r="F6" s="9">
        <f>'Stavební rozpočet SO01'!I4</f>
        <v>0</v>
      </c>
      <c r="G6" s="10"/>
      <c r="H6" s="9" t="s">
        <v>302</v>
      </c>
      <c r="I6" s="15" t="s">
        <v>49</v>
      </c>
    </row>
    <row r="7" spans="1:9" ht="15" customHeight="1">
      <c r="A7" s="18"/>
      <c r="B7" s="10"/>
      <c r="C7" s="10"/>
      <c r="D7" s="10"/>
      <c r="E7" s="10"/>
      <c r="F7" s="10"/>
      <c r="G7" s="10"/>
      <c r="H7" s="10"/>
      <c r="I7" s="15"/>
    </row>
    <row r="8" spans="1:9" ht="15">
      <c r="A8" s="19" t="s">
        <v>8</v>
      </c>
      <c r="B8" s="10"/>
      <c r="C8" s="9" t="str">
        <f>'Stavební rozpočet SO01'!G3</f>
        <v xml:space="preserve"> </v>
      </c>
      <c r="D8" s="10"/>
      <c r="E8" s="9" t="s">
        <v>13</v>
      </c>
      <c r="F8" s="9" t="str">
        <f>'Stavební rozpočet SO01'!G4</f>
        <v xml:space="preserve"> </v>
      </c>
      <c r="G8" s="10"/>
      <c r="H8" s="10" t="s">
        <v>303</v>
      </c>
      <c r="I8" s="27">
        <v>67</v>
      </c>
    </row>
    <row r="9" spans="1:9" ht="15">
      <c r="A9" s="18"/>
      <c r="B9" s="10"/>
      <c r="C9" s="10"/>
      <c r="D9" s="10"/>
      <c r="E9" s="10"/>
      <c r="F9" s="10"/>
      <c r="G9" s="10"/>
      <c r="H9" s="10"/>
      <c r="I9" s="15"/>
    </row>
    <row r="10" spans="1:9" ht="15">
      <c r="A10" s="19" t="s">
        <v>15</v>
      </c>
      <c r="B10" s="10"/>
      <c r="C10" s="9" t="str">
        <f>'Stavební rozpočet SO01'!C5</f>
        <v xml:space="preserve"> </v>
      </c>
      <c r="D10" s="10"/>
      <c r="E10" s="9" t="s">
        <v>18</v>
      </c>
      <c r="F10" s="9" t="str">
        <f>'Stavební rozpočet SO01'!I5</f>
        <v>Kamila Možná</v>
      </c>
      <c r="G10" s="10"/>
      <c r="H10" s="10" t="s">
        <v>304</v>
      </c>
      <c r="I10" s="23" t="str">
        <f>'Stavební rozpočet SO01'!G5</f>
        <v>09.04.2024</v>
      </c>
    </row>
    <row r="11" spans="1:9" ht="15">
      <c r="A11" s="25"/>
      <c r="B11" s="11"/>
      <c r="C11" s="11"/>
      <c r="D11" s="11"/>
      <c r="E11" s="11"/>
      <c r="F11" s="11"/>
      <c r="G11" s="11"/>
      <c r="H11" s="11"/>
      <c r="I11" s="24"/>
    </row>
    <row r="13" spans="1:5" ht="15.75">
      <c r="A13" s="37" t="s">
        <v>344</v>
      </c>
      <c r="B13" s="37"/>
      <c r="C13" s="37"/>
      <c r="D13" s="37"/>
      <c r="E13" s="37"/>
    </row>
    <row r="14" spans="1:9" ht="15">
      <c r="A14" s="38" t="s">
        <v>345</v>
      </c>
      <c r="B14" s="39"/>
      <c r="C14" s="39"/>
      <c r="D14" s="39"/>
      <c r="E14" s="40"/>
      <c r="F14" s="1" t="s">
        <v>346</v>
      </c>
      <c r="G14" s="1" t="s">
        <v>295</v>
      </c>
      <c r="H14" s="1" t="s">
        <v>347</v>
      </c>
      <c r="I14" s="1" t="s">
        <v>346</v>
      </c>
    </row>
    <row r="15" spans="1:9" ht="15">
      <c r="A15" s="44" t="s">
        <v>314</v>
      </c>
      <c r="B15" s="45"/>
      <c r="C15" s="45"/>
      <c r="D15" s="45"/>
      <c r="E15" s="46"/>
      <c r="F15" s="2">
        <v>0</v>
      </c>
      <c r="G15" s="3" t="s">
        <v>49</v>
      </c>
      <c r="H15" s="3" t="s">
        <v>49</v>
      </c>
      <c r="I15" s="2">
        <f>F15</f>
        <v>0</v>
      </c>
    </row>
    <row r="16" spans="1:9" ht="15">
      <c r="A16" s="44" t="s">
        <v>315</v>
      </c>
      <c r="B16" s="45"/>
      <c r="C16" s="45"/>
      <c r="D16" s="45"/>
      <c r="E16" s="46"/>
      <c r="F16" s="2">
        <v>0</v>
      </c>
      <c r="G16" s="3" t="s">
        <v>49</v>
      </c>
      <c r="H16" s="3" t="s">
        <v>49</v>
      </c>
      <c r="I16" s="2">
        <f>F16</f>
        <v>0</v>
      </c>
    </row>
    <row r="17" spans="1:9" ht="15">
      <c r="A17" s="41" t="s">
        <v>318</v>
      </c>
      <c r="B17" s="42"/>
      <c r="C17" s="42"/>
      <c r="D17" s="42"/>
      <c r="E17" s="43"/>
      <c r="F17" s="4">
        <v>0</v>
      </c>
      <c r="G17" s="5" t="s">
        <v>49</v>
      </c>
      <c r="H17" s="5" t="s">
        <v>49</v>
      </c>
      <c r="I17" s="4">
        <f>F17</f>
        <v>0</v>
      </c>
    </row>
    <row r="18" spans="1:9" ht="15">
      <c r="A18" s="28" t="s">
        <v>348</v>
      </c>
      <c r="B18" s="29"/>
      <c r="C18" s="29"/>
      <c r="D18" s="29"/>
      <c r="E18" s="30"/>
      <c r="F18" s="6" t="s">
        <v>49</v>
      </c>
      <c r="G18" s="7" t="s">
        <v>49</v>
      </c>
      <c r="H18" s="7" t="s">
        <v>49</v>
      </c>
      <c r="I18" s="8">
        <f>SUM(I15:I17)</f>
        <v>0</v>
      </c>
    </row>
    <row r="20" spans="1:9" ht="15">
      <c r="A20" s="38" t="s">
        <v>311</v>
      </c>
      <c r="B20" s="39"/>
      <c r="C20" s="39"/>
      <c r="D20" s="39"/>
      <c r="E20" s="40"/>
      <c r="F20" s="1" t="s">
        <v>346</v>
      </c>
      <c r="G20" s="1" t="s">
        <v>295</v>
      </c>
      <c r="H20" s="1" t="s">
        <v>347</v>
      </c>
      <c r="I20" s="1" t="s">
        <v>346</v>
      </c>
    </row>
    <row r="21" spans="1:9" ht="15">
      <c r="A21" s="44" t="s">
        <v>294</v>
      </c>
      <c r="B21" s="45"/>
      <c r="C21" s="45"/>
      <c r="D21" s="45"/>
      <c r="E21" s="46"/>
      <c r="F21" s="2">
        <v>0</v>
      </c>
      <c r="G21" s="3" t="s">
        <v>49</v>
      </c>
      <c r="H21" s="3" t="s">
        <v>49</v>
      </c>
      <c r="I21" s="2">
        <f aca="true" t="shared" si="0" ref="I21:I26">F21</f>
        <v>0</v>
      </c>
    </row>
    <row r="22" spans="1:9" ht="15">
      <c r="A22" s="44" t="s">
        <v>316</v>
      </c>
      <c r="B22" s="45"/>
      <c r="C22" s="45"/>
      <c r="D22" s="45"/>
      <c r="E22" s="46"/>
      <c r="F22" s="2">
        <v>0</v>
      </c>
      <c r="G22" s="3" t="s">
        <v>49</v>
      </c>
      <c r="H22" s="3" t="s">
        <v>49</v>
      </c>
      <c r="I22" s="2">
        <f t="shared" si="0"/>
        <v>0</v>
      </c>
    </row>
    <row r="23" spans="1:9" ht="15">
      <c r="A23" s="44" t="s">
        <v>319</v>
      </c>
      <c r="B23" s="45"/>
      <c r="C23" s="45"/>
      <c r="D23" s="45"/>
      <c r="E23" s="46"/>
      <c r="F23" s="2">
        <v>0</v>
      </c>
      <c r="G23" s="3" t="s">
        <v>49</v>
      </c>
      <c r="H23" s="3" t="s">
        <v>49</v>
      </c>
      <c r="I23" s="2">
        <f t="shared" si="0"/>
        <v>0</v>
      </c>
    </row>
    <row r="24" spans="1:9" ht="15">
      <c r="A24" s="44" t="s">
        <v>298</v>
      </c>
      <c r="B24" s="45"/>
      <c r="C24" s="45"/>
      <c r="D24" s="45"/>
      <c r="E24" s="46"/>
      <c r="F24" s="2">
        <v>0</v>
      </c>
      <c r="G24" s="3" t="s">
        <v>49</v>
      </c>
      <c r="H24" s="3" t="s">
        <v>49</v>
      </c>
      <c r="I24" s="2">
        <f t="shared" si="0"/>
        <v>0</v>
      </c>
    </row>
    <row r="25" spans="1:9" ht="15">
      <c r="A25" s="44" t="s">
        <v>321</v>
      </c>
      <c r="B25" s="45"/>
      <c r="C25" s="45"/>
      <c r="D25" s="45"/>
      <c r="E25" s="46"/>
      <c r="F25" s="2">
        <v>0</v>
      </c>
      <c r="G25" s="3" t="s">
        <v>49</v>
      </c>
      <c r="H25" s="3" t="s">
        <v>49</v>
      </c>
      <c r="I25" s="2">
        <f t="shared" si="0"/>
        <v>0</v>
      </c>
    </row>
    <row r="26" spans="1:9" ht="15">
      <c r="A26" s="41" t="s">
        <v>322</v>
      </c>
      <c r="B26" s="42"/>
      <c r="C26" s="42"/>
      <c r="D26" s="42"/>
      <c r="E26" s="43"/>
      <c r="F26" s="4">
        <v>0</v>
      </c>
      <c r="G26" s="5" t="s">
        <v>49</v>
      </c>
      <c r="H26" s="5" t="s">
        <v>49</v>
      </c>
      <c r="I26" s="4">
        <f t="shared" si="0"/>
        <v>0</v>
      </c>
    </row>
    <row r="27" spans="1:9" ht="15">
      <c r="A27" s="28" t="s">
        <v>349</v>
      </c>
      <c r="B27" s="29"/>
      <c r="C27" s="29"/>
      <c r="D27" s="29"/>
      <c r="E27" s="30"/>
      <c r="F27" s="6" t="s">
        <v>49</v>
      </c>
      <c r="G27" s="7" t="s">
        <v>49</v>
      </c>
      <c r="H27" s="7" t="s">
        <v>49</v>
      </c>
      <c r="I27" s="8">
        <f>SUM(I21:I26)</f>
        <v>0</v>
      </c>
    </row>
    <row r="29" spans="1:9" ht="15.75">
      <c r="A29" s="31" t="s">
        <v>350</v>
      </c>
      <c r="B29" s="32"/>
      <c r="C29" s="32"/>
      <c r="D29" s="32"/>
      <c r="E29" s="33"/>
      <c r="F29" s="34">
        <f>I18+I27</f>
        <v>0</v>
      </c>
      <c r="G29" s="35"/>
      <c r="H29" s="35"/>
      <c r="I29" s="36"/>
    </row>
    <row r="33" spans="1:5" ht="15.75">
      <c r="A33" s="37" t="s">
        <v>351</v>
      </c>
      <c r="B33" s="37"/>
      <c r="C33" s="37"/>
      <c r="D33" s="37"/>
      <c r="E33" s="37"/>
    </row>
    <row r="34" spans="1:9" ht="15">
      <c r="A34" s="38" t="s">
        <v>352</v>
      </c>
      <c r="B34" s="39"/>
      <c r="C34" s="39"/>
      <c r="D34" s="39"/>
      <c r="E34" s="40"/>
      <c r="F34" s="1" t="s">
        <v>346</v>
      </c>
      <c r="G34" s="1" t="s">
        <v>295</v>
      </c>
      <c r="H34" s="1" t="s">
        <v>347</v>
      </c>
      <c r="I34" s="1" t="s">
        <v>346</v>
      </c>
    </row>
    <row r="35" spans="1:9" ht="15">
      <c r="A35" s="41" t="s">
        <v>49</v>
      </c>
      <c r="B35" s="42"/>
      <c r="C35" s="42"/>
      <c r="D35" s="42"/>
      <c r="E35" s="43"/>
      <c r="F35" s="4">
        <v>0</v>
      </c>
      <c r="G35" s="5" t="s">
        <v>49</v>
      </c>
      <c r="H35" s="5" t="s">
        <v>49</v>
      </c>
      <c r="I35" s="4">
        <f>F35</f>
        <v>0</v>
      </c>
    </row>
    <row r="36" spans="1:9" ht="15">
      <c r="A36" s="28" t="s">
        <v>353</v>
      </c>
      <c r="B36" s="29"/>
      <c r="C36" s="29"/>
      <c r="D36" s="29"/>
      <c r="E36" s="30"/>
      <c r="F36" s="6" t="s">
        <v>49</v>
      </c>
      <c r="G36" s="7" t="s">
        <v>49</v>
      </c>
      <c r="H36" s="7" t="s">
        <v>49</v>
      </c>
      <c r="I36" s="8">
        <f>SUM(I35:I35)</f>
        <v>0</v>
      </c>
    </row>
  </sheetData>
  <mergeCells count="51"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  <mergeCell ref="E2:E3"/>
    <mergeCell ref="E4:E5"/>
    <mergeCell ref="E6:E7"/>
    <mergeCell ref="E8:E9"/>
    <mergeCell ref="E10:E11"/>
    <mergeCell ref="F2:G3"/>
    <mergeCell ref="F4:G5"/>
    <mergeCell ref="F6:G7"/>
    <mergeCell ref="F8:G9"/>
    <mergeCell ref="F10:G11"/>
    <mergeCell ref="C2:D3"/>
    <mergeCell ref="C4:D5"/>
    <mergeCell ref="C6:D7"/>
    <mergeCell ref="C8:D9"/>
    <mergeCell ref="C10:D11"/>
    <mergeCell ref="I10:I11"/>
    <mergeCell ref="A13:E13"/>
    <mergeCell ref="A14:E14"/>
    <mergeCell ref="A15:E15"/>
    <mergeCell ref="A16:E16"/>
    <mergeCell ref="H10:H11"/>
    <mergeCell ref="A10:B11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36:E36"/>
    <mergeCell ref="A29:E29"/>
    <mergeCell ref="F29:I29"/>
    <mergeCell ref="A33:E33"/>
    <mergeCell ref="A34:E34"/>
    <mergeCell ref="A35:E35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Cernohorsky Dusan</cp:lastModifiedBy>
  <dcterms:created xsi:type="dcterms:W3CDTF">2021-06-10T20:06:38Z</dcterms:created>
  <dcterms:modified xsi:type="dcterms:W3CDTF">2024-04-10T13:07:55Z</dcterms:modified>
  <cp:category/>
  <cp:version/>
  <cp:contentType/>
  <cp:contentStatus/>
</cp:coreProperties>
</file>