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65416" yWindow="65416" windowWidth="29040" windowHeight="15840" activeTab="0"/>
  </bookViews>
  <sheets>
    <sheet name="Stavební rozpočet" sheetId="1" r:id="rId1"/>
    <sheet name="Krycí list rozpočtu" sheetId="2" r:id="rId2"/>
  </sheets>
  <definedNames/>
  <calcPr calcId="191029"/>
  <extLst/>
</workbook>
</file>

<file path=xl/sharedStrings.xml><?xml version="1.0" encoding="utf-8"?>
<sst xmlns="http://schemas.openxmlformats.org/spreadsheetml/2006/main" count="436" uniqueCount="235">
  <si>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</si>
  <si>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</si>
  <si>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</si>
  <si>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</si>
  <si>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</si>
  <si>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</si>
  <si>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</si>
  <si>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</si>
  <si>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</si>
  <si>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</si>
  <si>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</si>
  <si>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</si>
  <si>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</si>
  <si>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</si>
  <si>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</si>
  <si>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</si>
  <si>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</si>
  <si>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</si>
  <si>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</si>
  <si>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</si>
  <si>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</si>
  <si>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</si>
  <si>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</si>
  <si>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</si>
  <si>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</si>
  <si>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</si>
  <si>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</si>
  <si>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</si>
  <si>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</si>
  <si>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Poznámka:</t>
  </si>
  <si>
    <t>Kód</t>
  </si>
  <si>
    <t>139600013RA0</t>
  </si>
  <si>
    <t>167101101R00</t>
  </si>
  <si>
    <t>162301102R00</t>
  </si>
  <si>
    <t>162701109R00</t>
  </si>
  <si>
    <t>171201201R00</t>
  </si>
  <si>
    <t>199000002R00</t>
  </si>
  <si>
    <t>27</t>
  </si>
  <si>
    <t>275313611R00</t>
  </si>
  <si>
    <t>275351215R00</t>
  </si>
  <si>
    <t>275351216R00</t>
  </si>
  <si>
    <t>63</t>
  </si>
  <si>
    <t>631317120T00</t>
  </si>
  <si>
    <t>631311131R00</t>
  </si>
  <si>
    <t>767</t>
  </si>
  <si>
    <t>767995212VD</t>
  </si>
  <si>
    <t>001221122VD</t>
  </si>
  <si>
    <t>001221123VD</t>
  </si>
  <si>
    <t>001221124VD</t>
  </si>
  <si>
    <t>90</t>
  </si>
  <si>
    <t>900100002RBA</t>
  </si>
  <si>
    <t>96</t>
  </si>
  <si>
    <t>965042241RT1</t>
  </si>
  <si>
    <t>H15</t>
  </si>
  <si>
    <t>998151111R00</t>
  </si>
  <si>
    <t>S</t>
  </si>
  <si>
    <t>979087113R00</t>
  </si>
  <si>
    <t>979081111R00</t>
  </si>
  <si>
    <t>979081121R00</t>
  </si>
  <si>
    <t>979990103R00</t>
  </si>
  <si>
    <t>AREÁL HAMR - SBĚRNÝ DVŮR - dokumentace pro provedení stavby</t>
  </si>
  <si>
    <t>SO 08 OPLOCENÍ</t>
  </si>
  <si>
    <t>Hamr</t>
  </si>
  <si>
    <t>Zkrácený popis</t>
  </si>
  <si>
    <t>Rozměry</t>
  </si>
  <si>
    <t>Hloubené vykopávky</t>
  </si>
  <si>
    <t>Ruční výkop</t>
  </si>
  <si>
    <t>0,3*0,3*0,65*48;pro oplocení;</t>
  </si>
  <si>
    <t>0,5*0,5*0,85*2*2;pro B1 a B2;</t>
  </si>
  <si>
    <t>0,3*0,3*0,65*2;pro BR1;</t>
  </si>
  <si>
    <t>(0,75*0,75)*0,85*2+1,5*0,75*0,85;pro B3;</t>
  </si>
  <si>
    <t>Přemístění výkopku</t>
  </si>
  <si>
    <t>Nakládání výkopku z hor.1-4 v množství do 100 m3</t>
  </si>
  <si>
    <t>5,6875;viz hloubení;</t>
  </si>
  <si>
    <t>Vodorovné přemístění výkopku z hor.1-4 do 1000 m</t>
  </si>
  <si>
    <t>Příplatek k vod. přemístění hor.1-4 za další 1 km</t>
  </si>
  <si>
    <t>5,6875*19;viz hloubení-odvoz celkem do 20km;</t>
  </si>
  <si>
    <t>Konstrukce ze zemin</t>
  </si>
  <si>
    <t>Uložení sypaniny na skládku</t>
  </si>
  <si>
    <t>Poplatek za skládku zeminy</t>
  </si>
  <si>
    <t>Základy</t>
  </si>
  <si>
    <t>Beton základových patek prostý C 16/20</t>
  </si>
  <si>
    <t>0,3*0,3*0,8*48;pro oplocení;</t>
  </si>
  <si>
    <t>0,5*0,5*1*2*2;pro B1 a B2;</t>
  </si>
  <si>
    <t>0,3*0,3*0,8*2;pro BR1;</t>
  </si>
  <si>
    <t>(0,75*0,75)*1*2+1,5*0,75*1;pro B3;</t>
  </si>
  <si>
    <t>Bednění stěn základových patek - zřízení</t>
  </si>
  <si>
    <t>0,3*4*0,15*48;pro oplocení v místě odstraněnní betonu;</t>
  </si>
  <si>
    <t>0,3*4*2;pro BR1;</t>
  </si>
  <si>
    <t>Bednění stěn základových patek - odstranění</t>
  </si>
  <si>
    <t>11,04;viz zřízení;</t>
  </si>
  <si>
    <t>Podlahy a podlahové konstrukce</t>
  </si>
  <si>
    <t>Řezání hl. 0-200 mm, beton prostý</t>
  </si>
  <si>
    <t>0,6*4*48;pro oplocení;</t>
  </si>
  <si>
    <t>0,5*4*2;pro B1 a B2;</t>
  </si>
  <si>
    <t>0,6*4*2;pro BR1;</t>
  </si>
  <si>
    <t>0,75*4*2+(1,5*0,75)*2;pro B3;</t>
  </si>
  <si>
    <t>Doplnění mazanin betonem do 1 m2, nad tl. 8 cm</t>
  </si>
  <si>
    <t>0,6*0,6*0,15*48-0,3*0,3*0,15*48;pro oplocení;</t>
  </si>
  <si>
    <t>0,6*0,6*0,15*2-0,3*0,3*0,15*2;pro BR1;</t>
  </si>
  <si>
    <t>u patek 300x300mm je počítáno s odstraněním betonu 600x600mm</t>
  </si>
  <si>
    <t>Konstrukce doplňkové stavební (zámečnické)</t>
  </si>
  <si>
    <t>Osazení branky, brány a pojezdové brány</t>
  </si>
  <si>
    <t>Brána 5x2m dle specifikace</t>
  </si>
  <si>
    <t>2;B1, B2;</t>
  </si>
  <si>
    <t>Brána 6x2m dle specifikace</t>
  </si>
  <si>
    <t>1;B3;</t>
  </si>
  <si>
    <t>Branka 1x2m dle specifikace</t>
  </si>
  <si>
    <t>1;BR1;</t>
  </si>
  <si>
    <t>Hodinové zúčtovací sazby (HZS)</t>
  </si>
  <si>
    <t>Oplocení z plotových panelů 3D Classic na sloupky</t>
  </si>
  <si>
    <t>116/100;PL1;</t>
  </si>
  <si>
    <t>Bourání konstrukcí</t>
  </si>
  <si>
    <t>Bourání mazanin betonových tl. nad 10 cm, nad 4 m2</t>
  </si>
  <si>
    <t>0,6*0,6*0,15*48;pro oplocení;</t>
  </si>
  <si>
    <t>0,5*0,5*0,15*22;pro B1 a B2;</t>
  </si>
  <si>
    <t>0,6*0,6*0,15*2;pro BR1;</t>
  </si>
  <si>
    <t>(0,75*0,75*2+1,5*0,75)*0,15;pro B3;</t>
  </si>
  <si>
    <t>Objekty pozemní zvláštní</t>
  </si>
  <si>
    <t>Přesun hmot, oplocení</t>
  </si>
  <si>
    <t>32,47847</t>
  </si>
  <si>
    <t>Přesuny sutí</t>
  </si>
  <si>
    <t>Nakládání vybour.hmot na doprav.prostředky</t>
  </si>
  <si>
    <t>8,4975</t>
  </si>
  <si>
    <t>Odvoz suti a vybour. hmot na skládku do 1 km</t>
  </si>
  <si>
    <t>Příplatek k odvozu za každý další 1 km</t>
  </si>
  <si>
    <t>8,4975*19;odvoz celkem do 20km;</t>
  </si>
  <si>
    <t>Poplatek za uložení suti - beton, skupina odpadu 170101</t>
  </si>
  <si>
    <t>Doba výstavby:</t>
  </si>
  <si>
    <t>Začátek výstavby:</t>
  </si>
  <si>
    <t>Konec výstavby:</t>
  </si>
  <si>
    <t>Zpracováno dne:</t>
  </si>
  <si>
    <t>19.09.2022</t>
  </si>
  <si>
    <t>Objednatel:</t>
  </si>
  <si>
    <t>Projektant:</t>
  </si>
  <si>
    <t>Zhotovitel:</t>
  </si>
  <si>
    <t>Zpracoval:</t>
  </si>
  <si>
    <t>MJ</t>
  </si>
  <si>
    <t>m3</t>
  </si>
  <si>
    <t>m2</t>
  </si>
  <si>
    <t>m</t>
  </si>
  <si>
    <t>kompl</t>
  </si>
  <si>
    <t>kus</t>
  </si>
  <si>
    <t>100 m</t>
  </si>
  <si>
    <t>t</t>
  </si>
  <si>
    <t>Množství</t>
  </si>
  <si>
    <t> </t>
  </si>
  <si>
    <t>Kamila Možná, 604833924</t>
  </si>
  <si>
    <t>Cena/MJ</t>
  </si>
  <si>
    <t>(Kč)</t>
  </si>
  <si>
    <t>Náklady (Kč)</t>
  </si>
  <si>
    <t>Dodávka</t>
  </si>
  <si>
    <t>Celkem:</t>
  </si>
  <si>
    <t>Montáž</t>
  </si>
  <si>
    <t>Celkem</t>
  </si>
  <si>
    <t>Cenová</t>
  </si>
  <si>
    <t>soustava</t>
  </si>
  <si>
    <t>RTS I / 2022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</si>
  <si>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</si>
  <si>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</si>
  <si>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</si>
  <si>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</si>
  <si>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</si>
  <si>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</si>
  <si>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</si>
  <si>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</si>
  <si>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</si>
  <si>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13_</t>
  </si>
  <si>
    <t>16_</t>
  </si>
  <si>
    <t>17_</t>
  </si>
  <si>
    <t>27_</t>
  </si>
  <si>
    <t>63_</t>
  </si>
  <si>
    <t>767_</t>
  </si>
  <si>
    <t>90_</t>
  </si>
  <si>
    <t>96_</t>
  </si>
  <si>
    <t>H15_</t>
  </si>
  <si>
    <t>S_</t>
  </si>
  <si>
    <t>1_</t>
  </si>
  <si>
    <t>2_</t>
  </si>
  <si>
    <t>6_</t>
  </si>
  <si>
    <t>76_</t>
  </si>
  <si>
    <t>9_</t>
  </si>
  <si>
    <t>_</t>
  </si>
  <si>
    <t>MAT</t>
  </si>
  <si>
    <t>WORK</t>
  </si>
  <si>
    <t>CELK</t>
  </si>
  <si>
    <t>ISWORK</t>
  </si>
  <si>
    <t>P</t>
  </si>
  <si>
    <t>M</t>
  </si>
  <si>
    <t>GROUPCODE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</si>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</sst>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i/>
      <sz val="10"/>
      <color indexed="63"/>
      <name val="Arial"/>
      <family val="2"/>
    </font>
    <font>
      <i/>
      <sz val="10"/>
      <color indexed="50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0" fontId="1" fillId="0" borderId="6" xfId="0" applyNumberFormat="1" applyFont="1" applyFill="1" applyBorder="1" applyAlignment="1" applyProtection="1">
      <alignment vertical="center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49" fontId="8" fillId="2" borderId="9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0" xfId="0" applyNumberFormat="1" applyFont="1" applyFill="1" applyBorder="1" applyAlignment="1" applyProtection="1">
      <alignment horizontal="left" vertical="center"/>
      <protection/>
    </xf>
    <xf numFmtId="49" fontId="4" fillId="2" borderId="9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8" fillId="2" borderId="18" xfId="0" applyNumberFormat="1" applyFont="1" applyFill="1" applyBorder="1" applyAlignment="1" applyProtection="1">
      <alignment horizontal="right" vertical="center"/>
      <protection/>
    </xf>
    <xf numFmtId="49" fontId="5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8" fillId="2" borderId="19" xfId="0" applyNumberFormat="1" applyFont="1" applyFill="1" applyBorder="1" applyAlignment="1" applyProtection="1">
      <alignment horizontal="right" vertical="center"/>
      <protection/>
    </xf>
    <xf numFmtId="49" fontId="6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9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6" xfId="0" applyNumberFormat="1" applyFont="1" applyFill="1" applyBorder="1" applyAlignment="1" applyProtection="1">
      <alignment horizontal="right" vertical="center"/>
      <protection/>
    </xf>
    <xf numFmtId="49" fontId="12" fillId="3" borderId="22" xfId="0" applyNumberFormat="1" applyFont="1" applyFill="1" applyBorder="1" applyAlignment="1" applyProtection="1">
      <alignment horizontal="center" vertical="center"/>
      <protection/>
    </xf>
    <xf numFmtId="49" fontId="13" fillId="0" borderId="23" xfId="0" applyNumberFormat="1" applyFont="1" applyFill="1" applyBorder="1" applyAlignment="1" applyProtection="1">
      <alignment horizontal="left" vertical="center"/>
      <protection/>
    </xf>
    <xf numFmtId="49" fontId="13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9" fontId="7" fillId="0" borderId="9" xfId="0" applyNumberFormat="1" applyFont="1" applyFill="1" applyBorder="1" applyAlignment="1" applyProtection="1">
      <alignment horizontal="left" vertical="center"/>
      <protection/>
    </xf>
    <xf numFmtId="49" fontId="14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" fontId="14" fillId="0" borderId="22" xfId="0" applyNumberFormat="1" applyFont="1" applyFill="1" applyBorder="1" applyAlignment="1" applyProtection="1">
      <alignment horizontal="right" vertical="center"/>
      <protection/>
    </xf>
    <xf numFmtId="49" fontId="14" fillId="0" borderId="22" xfId="0" applyNumberFormat="1" applyFont="1" applyFill="1" applyBorder="1" applyAlignment="1" applyProtection="1">
      <alignment horizontal="right" vertical="center"/>
      <protection/>
    </xf>
    <xf numFmtId="4" fontId="14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13" fillId="3" borderId="28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/>
      <protection/>
    </xf>
    <xf numFmtId="49" fontId="8" fillId="2" borderId="9" xfId="0" applyNumberFormat="1" applyFont="1" applyFill="1" applyBorder="1" applyAlignment="1" applyProtection="1">
      <alignment horizontal="left" vertical="center"/>
      <protection/>
    </xf>
    <xf numFmtId="0" fontId="8" fillId="2" borderId="9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49" fontId="11" fillId="0" borderId="36" xfId="0" applyNumberFormat="1" applyFont="1" applyFill="1" applyBorder="1" applyAlignment="1" applyProtection="1">
      <alignment horizontal="center" vertical="center"/>
      <protection/>
    </xf>
    <xf numFmtId="0" fontId="11" fillId="0" borderId="36" xfId="0" applyNumberFormat="1" applyFont="1" applyFill="1" applyBorder="1" applyAlignment="1" applyProtection="1">
      <alignment horizontal="center" vertical="center"/>
      <protection/>
    </xf>
    <xf numFmtId="49" fontId="15" fillId="0" borderId="27" xfId="0" applyNumberFormat="1" applyFont="1" applyFill="1" applyBorder="1" applyAlignment="1" applyProtection="1">
      <alignment horizontal="left" vertical="center"/>
      <protection/>
    </xf>
    <xf numFmtId="0" fontId="15" fillId="0" borderId="28" xfId="0" applyNumberFormat="1" applyFont="1" applyFill="1" applyBorder="1" applyAlignment="1" applyProtection="1">
      <alignment horizontal="left" vertical="center"/>
      <protection/>
    </xf>
    <xf numFmtId="49" fontId="14" fillId="0" borderId="27" xfId="0" applyNumberFormat="1" applyFont="1" applyFill="1" applyBorder="1" applyAlignment="1" applyProtection="1">
      <alignment horizontal="left" vertical="center"/>
      <protection/>
    </xf>
    <xf numFmtId="0" fontId="14" fillId="0" borderId="28" xfId="0" applyNumberFormat="1" applyFont="1" applyFill="1" applyBorder="1" applyAlignment="1" applyProtection="1">
      <alignment horizontal="left" vertical="center"/>
      <protection/>
    </xf>
    <xf numFmtId="49" fontId="13" fillId="0" borderId="27" xfId="0" applyNumberFormat="1" applyFont="1" applyFill="1" applyBorder="1" applyAlignment="1" applyProtection="1">
      <alignment horizontal="left" vertical="center"/>
      <protection/>
    </xf>
    <xf numFmtId="0" fontId="13" fillId="0" borderId="28" xfId="0" applyNumberFormat="1" applyFont="1" applyFill="1" applyBorder="1" applyAlignment="1" applyProtection="1">
      <alignment horizontal="left" vertical="center"/>
      <protection/>
    </xf>
    <xf numFmtId="49" fontId="13" fillId="3" borderId="27" xfId="0" applyNumberFormat="1" applyFont="1" applyFill="1" applyBorder="1" applyAlignment="1" applyProtection="1">
      <alignment horizontal="left" vertical="center"/>
      <protection/>
    </xf>
    <xf numFmtId="0" fontId="13" fillId="3" borderId="36" xfId="0" applyNumberFormat="1" applyFont="1" applyFill="1" applyBorder="1" applyAlignment="1" applyProtection="1">
      <alignment horizontal="left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9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4" fillId="0" borderId="21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39" xfId="0" applyNumberFormat="1" applyFont="1" applyFill="1" applyBorder="1" applyAlignment="1" applyProtection="1">
      <alignment horizontal="left" vertical="center"/>
      <protection/>
    </xf>
    <xf numFmtId="49" fontId="14" fillId="0" borderId="40" xfId="0" applyNumberFormat="1" applyFont="1" applyFill="1" applyBorder="1" applyAlignment="1" applyProtection="1">
      <alignment horizontal="left" vertical="center"/>
      <protection/>
    </xf>
    <xf numFmtId="0" fontId="14" fillId="0" borderId="30" xfId="0" applyNumberFormat="1" applyFont="1" applyFill="1" applyBorder="1" applyAlignment="1" applyProtection="1">
      <alignment horizontal="left" vertical="center"/>
      <protection/>
    </xf>
    <xf numFmtId="0" fontId="14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9048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80"/>
  <sheetViews>
    <sheetView tabSelected="1" workbookViewId="0" topLeftCell="A1">
      <pane ySplit="11" topLeftCell="A12" activePane="bottomLeft" state="frozen"/>
      <selection pane="bottomLeft" activeCell="C91" sqref="C91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57.00390625" style="0" customWidth="1"/>
    <col min="4" max="4" width="9.28125" style="0" customWidth="1"/>
    <col min="7" max="7" width="6.00390625" style="0" customWidth="1"/>
    <col min="8" max="8" width="12.8515625" style="0" customWidth="1"/>
    <col min="9" max="9" width="12.00390625" style="0" customWidth="1"/>
    <col min="10" max="12" width="14.28125" style="0" customWidth="1"/>
    <col min="13" max="13" width="11.7109375" style="0" customWidth="1"/>
    <col min="25" max="64" width="12.140625" style="0" hidden="1" customWidth="1"/>
  </cols>
  <sheetData>
    <row r="1" spans="1:13" ht="72.95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ht="12.75">
      <c r="A2" s="72" t="s">
        <v>1</v>
      </c>
      <c r="B2" s="73"/>
      <c r="C2" s="75" t="s">
        <v>60</v>
      </c>
      <c r="D2" s="77" t="s">
        <v>128</v>
      </c>
      <c r="E2" s="73"/>
      <c r="F2" s="77" t="s">
        <v>6</v>
      </c>
      <c r="G2" s="78" t="s">
        <v>133</v>
      </c>
      <c r="H2" s="73"/>
      <c r="I2" s="77" t="s">
        <v>146</v>
      </c>
      <c r="J2" s="73"/>
      <c r="K2" s="73"/>
      <c r="L2" s="73"/>
      <c r="M2" s="79"/>
      <c r="N2" s="5"/>
    </row>
    <row r="3" spans="1:14" ht="12.75">
      <c r="A3" s="74"/>
      <c r="B3" s="68"/>
      <c r="C3" s="76"/>
      <c r="D3" s="68"/>
      <c r="E3" s="68"/>
      <c r="F3" s="68"/>
      <c r="G3" s="68"/>
      <c r="H3" s="68"/>
      <c r="I3" s="68"/>
      <c r="J3" s="68"/>
      <c r="K3" s="68"/>
      <c r="L3" s="68"/>
      <c r="M3" s="69"/>
      <c r="N3" s="5"/>
    </row>
    <row r="4" spans="1:14" ht="12.75">
      <c r="A4" s="80" t="s">
        <v>2</v>
      </c>
      <c r="B4" s="68"/>
      <c r="C4" s="81" t="s">
        <v>61</v>
      </c>
      <c r="D4" s="67" t="s">
        <v>129</v>
      </c>
      <c r="E4" s="68"/>
      <c r="F4" s="67" t="s">
        <v>6</v>
      </c>
      <c r="G4" s="81" t="s">
        <v>134</v>
      </c>
      <c r="H4" s="68"/>
      <c r="I4" s="67" t="s">
        <v>146</v>
      </c>
      <c r="J4" s="68"/>
      <c r="K4" s="68"/>
      <c r="L4" s="68"/>
      <c r="M4" s="69"/>
      <c r="N4" s="5"/>
    </row>
    <row r="5" spans="1:14" ht="12.75">
      <c r="A5" s="74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  <c r="N5" s="5"/>
    </row>
    <row r="6" spans="1:14" ht="12.75">
      <c r="A6" s="80" t="s">
        <v>3</v>
      </c>
      <c r="B6" s="68"/>
      <c r="C6" s="81" t="s">
        <v>62</v>
      </c>
      <c r="D6" s="67" t="s">
        <v>130</v>
      </c>
      <c r="E6" s="68"/>
      <c r="F6" s="67" t="s">
        <v>6</v>
      </c>
      <c r="G6" s="81" t="s">
        <v>135</v>
      </c>
      <c r="H6" s="68"/>
      <c r="I6" s="67" t="s">
        <v>146</v>
      </c>
      <c r="J6" s="68"/>
      <c r="K6" s="68"/>
      <c r="L6" s="68"/>
      <c r="M6" s="69"/>
      <c r="N6" s="5"/>
    </row>
    <row r="7" spans="1:14" ht="12.75">
      <c r="A7" s="74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  <c r="N7" s="5"/>
    </row>
    <row r="8" spans="1:14" ht="12.75">
      <c r="A8" s="80" t="s">
        <v>4</v>
      </c>
      <c r="B8" s="68"/>
      <c r="C8" s="81" t="s">
        <v>6</v>
      </c>
      <c r="D8" s="67" t="s">
        <v>131</v>
      </c>
      <c r="E8" s="68"/>
      <c r="F8" s="67" t="s">
        <v>132</v>
      </c>
      <c r="G8" s="81" t="s">
        <v>136</v>
      </c>
      <c r="H8" s="68"/>
      <c r="I8" s="81" t="s">
        <v>147</v>
      </c>
      <c r="J8" s="68"/>
      <c r="K8" s="68"/>
      <c r="L8" s="68"/>
      <c r="M8" s="69"/>
      <c r="N8" s="5"/>
    </row>
    <row r="9" spans="1:14" ht="12.75">
      <c r="A9" s="86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  <c r="N9" s="5"/>
    </row>
    <row r="10" spans="1:64" ht="12.75">
      <c r="A10" s="1" t="s">
        <v>5</v>
      </c>
      <c r="B10" s="10" t="s">
        <v>30</v>
      </c>
      <c r="C10" s="87" t="s">
        <v>63</v>
      </c>
      <c r="D10" s="88"/>
      <c r="E10" s="88"/>
      <c r="F10" s="89"/>
      <c r="G10" s="10" t="s">
        <v>137</v>
      </c>
      <c r="H10" s="23" t="s">
        <v>145</v>
      </c>
      <c r="I10" s="28" t="s">
        <v>148</v>
      </c>
      <c r="J10" s="90" t="s">
        <v>150</v>
      </c>
      <c r="K10" s="91"/>
      <c r="L10" s="92"/>
      <c r="M10" s="33" t="s">
        <v>155</v>
      </c>
      <c r="N10" s="41"/>
      <c r="BK10" s="42" t="s">
        <v>186</v>
      </c>
      <c r="BL10" s="47" t="s">
        <v>189</v>
      </c>
    </row>
    <row r="11" spans="1:62" ht="12.75">
      <c r="A11" s="2" t="s">
        <v>6</v>
      </c>
      <c r="B11" s="11" t="s">
        <v>6</v>
      </c>
      <c r="C11" s="93" t="s">
        <v>64</v>
      </c>
      <c r="D11" s="94"/>
      <c r="E11" s="94"/>
      <c r="F11" s="95"/>
      <c r="G11" s="11" t="s">
        <v>6</v>
      </c>
      <c r="H11" s="11" t="s">
        <v>6</v>
      </c>
      <c r="I11" s="29" t="s">
        <v>149</v>
      </c>
      <c r="J11" s="30" t="s">
        <v>151</v>
      </c>
      <c r="K11" s="31" t="s">
        <v>153</v>
      </c>
      <c r="L11" s="32" t="s">
        <v>154</v>
      </c>
      <c r="M11" s="34" t="s">
        <v>156</v>
      </c>
      <c r="N11" s="41"/>
      <c r="Z11" s="42" t="s">
        <v>158</v>
      </c>
      <c r="AA11" s="42" t="s">
        <v>159</v>
      </c>
      <c r="AB11" s="42" t="s">
        <v>160</v>
      </c>
      <c r="AC11" s="42" t="s">
        <v>161</v>
      </c>
      <c r="AD11" s="42" t="s">
        <v>162</v>
      </c>
      <c r="AE11" s="42" t="s">
        <v>163</v>
      </c>
      <c r="AF11" s="42" t="s">
        <v>164</v>
      </c>
      <c r="AG11" s="42" t="s">
        <v>165</v>
      </c>
      <c r="AH11" s="42" t="s">
        <v>166</v>
      </c>
      <c r="BH11" s="42" t="s">
        <v>183</v>
      </c>
      <c r="BI11" s="42" t="s">
        <v>184</v>
      </c>
      <c r="BJ11" s="42" t="s">
        <v>185</v>
      </c>
    </row>
    <row r="12" spans="1:47" ht="12.75">
      <c r="A12" s="3"/>
      <c r="B12" s="12" t="s">
        <v>19</v>
      </c>
      <c r="C12" s="96" t="s">
        <v>65</v>
      </c>
      <c r="D12" s="97"/>
      <c r="E12" s="97"/>
      <c r="F12" s="97"/>
      <c r="G12" s="21" t="s">
        <v>6</v>
      </c>
      <c r="H12" s="21" t="s">
        <v>6</v>
      </c>
      <c r="I12" s="21" t="s">
        <v>6</v>
      </c>
      <c r="J12" s="48">
        <f>SUM(J13:J13)</f>
        <v>0</v>
      </c>
      <c r="K12" s="48">
        <f>SUM(K13:K13)</f>
        <v>0</v>
      </c>
      <c r="L12" s="48">
        <f>SUM(L13:L13)</f>
        <v>0</v>
      </c>
      <c r="M12" s="35"/>
      <c r="N12" s="5"/>
      <c r="AI12" s="42"/>
      <c r="AS12" s="49">
        <f>SUM(AJ13:AJ13)</f>
        <v>0</v>
      </c>
      <c r="AT12" s="49">
        <f>SUM(AK13:AK13)</f>
        <v>0</v>
      </c>
      <c r="AU12" s="49">
        <f>SUM(AL13:AL13)</f>
        <v>0</v>
      </c>
    </row>
    <row r="13" spans="1:64" ht="12.75">
      <c r="A13" s="4" t="s">
        <v>7</v>
      </c>
      <c r="B13" s="66" t="s">
        <v>31</v>
      </c>
      <c r="C13" s="98" t="s">
        <v>66</v>
      </c>
      <c r="D13" s="99"/>
      <c r="E13" s="99"/>
      <c r="F13" s="99"/>
      <c r="G13" s="13" t="s">
        <v>138</v>
      </c>
      <c r="H13" s="24">
        <v>5.6875</v>
      </c>
      <c r="I13" s="24">
        <v>0</v>
      </c>
      <c r="J13" s="24">
        <f>H13*AO13</f>
        <v>0</v>
      </c>
      <c r="K13" s="24">
        <f>H13*AP13</f>
        <v>0</v>
      </c>
      <c r="L13" s="24">
        <f>H13*I13</f>
        <v>0</v>
      </c>
      <c r="M13" s="36" t="s">
        <v>157</v>
      </c>
      <c r="N13" s="5"/>
      <c r="Z13" s="43">
        <f>IF(AQ13="5",BJ13,0)</f>
        <v>0</v>
      </c>
      <c r="AB13" s="43">
        <f>IF(AQ13="1",BH13,0)</f>
        <v>0</v>
      </c>
      <c r="AC13" s="43">
        <f>IF(AQ13="1",BI13,0)</f>
        <v>0</v>
      </c>
      <c r="AD13" s="43">
        <f>IF(AQ13="7",BH13,0)</f>
        <v>0</v>
      </c>
      <c r="AE13" s="43">
        <f>IF(AQ13="7",BI13,0)</f>
        <v>0</v>
      </c>
      <c r="AF13" s="43">
        <f>IF(AQ13="2",BH13,0)</f>
        <v>0</v>
      </c>
      <c r="AG13" s="43">
        <f>IF(AQ13="2",BI13,0)</f>
        <v>0</v>
      </c>
      <c r="AH13" s="43">
        <f>IF(AQ13="0",BJ13,0)</f>
        <v>0</v>
      </c>
      <c r="AI13" s="42"/>
      <c r="AJ13" s="24">
        <f>IF(AN13=0,L13,0)</f>
        <v>0</v>
      </c>
      <c r="AK13" s="24">
        <f>IF(AN13=15,L13,0)</f>
        <v>0</v>
      </c>
      <c r="AL13" s="24">
        <f>IF(AN13=21,L13,0)</f>
        <v>0</v>
      </c>
      <c r="AN13" s="43">
        <v>21</v>
      </c>
      <c r="AO13" s="43">
        <f>I13*0</f>
        <v>0</v>
      </c>
      <c r="AP13" s="43">
        <f>I13*(1-0)</f>
        <v>0</v>
      </c>
      <c r="AQ13" s="44" t="s">
        <v>7</v>
      </c>
      <c r="AV13" s="43">
        <f>AW13+AX13</f>
        <v>0</v>
      </c>
      <c r="AW13" s="43">
        <f>H13*AO13</f>
        <v>0</v>
      </c>
      <c r="AX13" s="43">
        <f>H13*AP13</f>
        <v>0</v>
      </c>
      <c r="AY13" s="46" t="s">
        <v>167</v>
      </c>
      <c r="AZ13" s="46" t="s">
        <v>177</v>
      </c>
      <c r="BA13" s="42" t="s">
        <v>182</v>
      </c>
      <c r="BC13" s="43">
        <f>AW13+AX13</f>
        <v>0</v>
      </c>
      <c r="BD13" s="43">
        <f>I13/(100-BE13)*100</f>
        <v>0</v>
      </c>
      <c r="BE13" s="43">
        <v>0</v>
      </c>
      <c r="BF13" s="43">
        <f>13</f>
        <v>13</v>
      </c>
      <c r="BH13" s="24">
        <f>H13*AO13</f>
        <v>0</v>
      </c>
      <c r="BI13" s="24">
        <f>H13*AP13</f>
        <v>0</v>
      </c>
      <c r="BJ13" s="24">
        <f>H13*I13</f>
        <v>0</v>
      </c>
      <c r="BK13" s="24" t="s">
        <v>187</v>
      </c>
      <c r="BL13" s="43">
        <v>13</v>
      </c>
    </row>
    <row r="14" spans="1:14" ht="12.75">
      <c r="A14" s="5"/>
      <c r="C14" s="17" t="s">
        <v>67</v>
      </c>
      <c r="F14" s="19"/>
      <c r="H14" s="25">
        <v>2.808</v>
      </c>
      <c r="M14" s="37"/>
      <c r="N14" s="5"/>
    </row>
    <row r="15" spans="1:14" ht="12.75">
      <c r="A15" s="5"/>
      <c r="C15" s="17" t="s">
        <v>68</v>
      </c>
      <c r="F15" s="19"/>
      <c r="H15" s="25">
        <v>0.85</v>
      </c>
      <c r="M15" s="37"/>
      <c r="N15" s="5"/>
    </row>
    <row r="16" spans="1:14" ht="12.75">
      <c r="A16" s="5"/>
      <c r="C16" s="17" t="s">
        <v>69</v>
      </c>
      <c r="F16" s="19"/>
      <c r="H16" s="25">
        <v>0.117</v>
      </c>
      <c r="M16" s="37"/>
      <c r="N16" s="5"/>
    </row>
    <row r="17" spans="1:14" ht="12.75">
      <c r="A17" s="5"/>
      <c r="C17" s="17" t="s">
        <v>70</v>
      </c>
      <c r="F17" s="19"/>
      <c r="H17" s="25">
        <v>1.9125</v>
      </c>
      <c r="M17" s="37"/>
      <c r="N17" s="5"/>
    </row>
    <row r="18" spans="1:47" ht="12.75">
      <c r="A18" s="6"/>
      <c r="B18" s="14" t="s">
        <v>22</v>
      </c>
      <c r="C18" s="84" t="s">
        <v>71</v>
      </c>
      <c r="D18" s="85"/>
      <c r="E18" s="85"/>
      <c r="F18" s="85"/>
      <c r="G18" s="22" t="s">
        <v>6</v>
      </c>
      <c r="H18" s="22" t="s">
        <v>6</v>
      </c>
      <c r="I18" s="22" t="s">
        <v>6</v>
      </c>
      <c r="J18" s="49">
        <f>SUM(J19:J23)</f>
        <v>0</v>
      </c>
      <c r="K18" s="49">
        <f>SUM(K19:K23)</f>
        <v>0</v>
      </c>
      <c r="L18" s="49">
        <f>SUM(L19:L23)</f>
        <v>0</v>
      </c>
      <c r="M18" s="38"/>
      <c r="N18" s="5"/>
      <c r="AI18" s="42"/>
      <c r="AS18" s="49">
        <f>SUM(AJ19:AJ23)</f>
        <v>0</v>
      </c>
      <c r="AT18" s="49">
        <f>SUM(AK19:AK23)</f>
        <v>0</v>
      </c>
      <c r="AU18" s="49">
        <f>SUM(AL19:AL23)</f>
        <v>0</v>
      </c>
    </row>
    <row r="19" spans="1:64" ht="12.75">
      <c r="A19" s="4" t="s">
        <v>8</v>
      </c>
      <c r="B19" s="66" t="s">
        <v>32</v>
      </c>
      <c r="C19" s="98" t="s">
        <v>72</v>
      </c>
      <c r="D19" s="99"/>
      <c r="E19" s="99"/>
      <c r="F19" s="99"/>
      <c r="G19" s="13" t="s">
        <v>138</v>
      </c>
      <c r="H19" s="24">
        <v>5.6875</v>
      </c>
      <c r="I19" s="24">
        <v>0</v>
      </c>
      <c r="J19" s="24">
        <f>H19*AO19</f>
        <v>0</v>
      </c>
      <c r="K19" s="24">
        <f>H19*AP19</f>
        <v>0</v>
      </c>
      <c r="L19" s="24">
        <f>H19*I19</f>
        <v>0</v>
      </c>
      <c r="M19" s="36" t="s">
        <v>157</v>
      </c>
      <c r="N19" s="5"/>
      <c r="Z19" s="43">
        <f>IF(AQ19="5",BJ19,0)</f>
        <v>0</v>
      </c>
      <c r="AB19" s="43">
        <f>IF(AQ19="1",BH19,0)</f>
        <v>0</v>
      </c>
      <c r="AC19" s="43">
        <f>IF(AQ19="1",BI19,0)</f>
        <v>0</v>
      </c>
      <c r="AD19" s="43">
        <f>IF(AQ19="7",BH19,0)</f>
        <v>0</v>
      </c>
      <c r="AE19" s="43">
        <f>IF(AQ19="7",BI19,0)</f>
        <v>0</v>
      </c>
      <c r="AF19" s="43">
        <f>IF(AQ19="2",BH19,0)</f>
        <v>0</v>
      </c>
      <c r="AG19" s="43">
        <f>IF(AQ19="2",BI19,0)</f>
        <v>0</v>
      </c>
      <c r="AH19" s="43">
        <f>IF(AQ19="0",BJ19,0)</f>
        <v>0</v>
      </c>
      <c r="AI19" s="42"/>
      <c r="AJ19" s="24">
        <f>IF(AN19=0,L19,0)</f>
        <v>0</v>
      </c>
      <c r="AK19" s="24">
        <f>IF(AN19=15,L19,0)</f>
        <v>0</v>
      </c>
      <c r="AL19" s="24">
        <f>IF(AN19=21,L19,0)</f>
        <v>0</v>
      </c>
      <c r="AN19" s="43">
        <v>21</v>
      </c>
      <c r="AO19" s="43">
        <f>I19*0</f>
        <v>0</v>
      </c>
      <c r="AP19" s="43">
        <f>I19*(1-0)</f>
        <v>0</v>
      </c>
      <c r="AQ19" s="44" t="s">
        <v>7</v>
      </c>
      <c r="AV19" s="43">
        <f>AW19+AX19</f>
        <v>0</v>
      </c>
      <c r="AW19" s="43">
        <f>H19*AO19</f>
        <v>0</v>
      </c>
      <c r="AX19" s="43">
        <f>H19*AP19</f>
        <v>0</v>
      </c>
      <c r="AY19" s="46" t="s">
        <v>168</v>
      </c>
      <c r="AZ19" s="46" t="s">
        <v>177</v>
      </c>
      <c r="BA19" s="42" t="s">
        <v>182</v>
      </c>
      <c r="BC19" s="43">
        <f>AW19+AX19</f>
        <v>0</v>
      </c>
      <c r="BD19" s="43">
        <f>I19/(100-BE19)*100</f>
        <v>0</v>
      </c>
      <c r="BE19" s="43">
        <v>0</v>
      </c>
      <c r="BF19" s="43">
        <f>19</f>
        <v>19</v>
      </c>
      <c r="BH19" s="24">
        <f>H19*AO19</f>
        <v>0</v>
      </c>
      <c r="BI19" s="24">
        <f>H19*AP19</f>
        <v>0</v>
      </c>
      <c r="BJ19" s="24">
        <f>H19*I19</f>
        <v>0</v>
      </c>
      <c r="BK19" s="24" t="s">
        <v>187</v>
      </c>
      <c r="BL19" s="43">
        <v>16</v>
      </c>
    </row>
    <row r="20" spans="1:14" ht="12.75">
      <c r="A20" s="5"/>
      <c r="B20" s="130"/>
      <c r="C20" s="17" t="s">
        <v>73</v>
      </c>
      <c r="D20" s="130"/>
      <c r="E20" s="130"/>
      <c r="F20" s="19"/>
      <c r="H20" s="25">
        <v>5.6875</v>
      </c>
      <c r="M20" s="37"/>
      <c r="N20" s="5"/>
    </row>
    <row r="21" spans="1:64" ht="12.75">
      <c r="A21" s="4" t="s">
        <v>9</v>
      </c>
      <c r="B21" s="66" t="s">
        <v>33</v>
      </c>
      <c r="C21" s="98" t="s">
        <v>74</v>
      </c>
      <c r="D21" s="99"/>
      <c r="E21" s="99"/>
      <c r="F21" s="99"/>
      <c r="G21" s="13" t="s">
        <v>138</v>
      </c>
      <c r="H21" s="24">
        <v>5.6875</v>
      </c>
      <c r="I21" s="24">
        <v>0</v>
      </c>
      <c r="J21" s="24">
        <f>H21*AO21</f>
        <v>0</v>
      </c>
      <c r="K21" s="24">
        <f>H21*AP21</f>
        <v>0</v>
      </c>
      <c r="L21" s="24">
        <f>H21*I21</f>
        <v>0</v>
      </c>
      <c r="M21" s="36" t="s">
        <v>157</v>
      </c>
      <c r="N21" s="5"/>
      <c r="Z21" s="43">
        <f>IF(AQ21="5",BJ21,0)</f>
        <v>0</v>
      </c>
      <c r="AB21" s="43">
        <f>IF(AQ21="1",BH21,0)</f>
        <v>0</v>
      </c>
      <c r="AC21" s="43">
        <f>IF(AQ21="1",BI21,0)</f>
        <v>0</v>
      </c>
      <c r="AD21" s="43">
        <f>IF(AQ21="7",BH21,0)</f>
        <v>0</v>
      </c>
      <c r="AE21" s="43">
        <f>IF(AQ21="7",BI21,0)</f>
        <v>0</v>
      </c>
      <c r="AF21" s="43">
        <f>IF(AQ21="2",BH21,0)</f>
        <v>0</v>
      </c>
      <c r="AG21" s="43">
        <f>IF(AQ21="2",BI21,0)</f>
        <v>0</v>
      </c>
      <c r="AH21" s="43">
        <f>IF(AQ21="0",BJ21,0)</f>
        <v>0</v>
      </c>
      <c r="AI21" s="42"/>
      <c r="AJ21" s="24">
        <f>IF(AN21=0,L21,0)</f>
        <v>0</v>
      </c>
      <c r="AK21" s="24">
        <f>IF(AN21=15,L21,0)</f>
        <v>0</v>
      </c>
      <c r="AL21" s="24">
        <f>IF(AN21=21,L21,0)</f>
        <v>0</v>
      </c>
      <c r="AN21" s="43">
        <v>21</v>
      </c>
      <c r="AO21" s="43">
        <f>I21*0</f>
        <v>0</v>
      </c>
      <c r="AP21" s="43">
        <f>I21*(1-0)</f>
        <v>0</v>
      </c>
      <c r="AQ21" s="44" t="s">
        <v>7</v>
      </c>
      <c r="AV21" s="43">
        <f>AW21+AX21</f>
        <v>0</v>
      </c>
      <c r="AW21" s="43">
        <f>H21*AO21</f>
        <v>0</v>
      </c>
      <c r="AX21" s="43">
        <f>H21*AP21</f>
        <v>0</v>
      </c>
      <c r="AY21" s="46" t="s">
        <v>168</v>
      </c>
      <c r="AZ21" s="46" t="s">
        <v>177</v>
      </c>
      <c r="BA21" s="42" t="s">
        <v>182</v>
      </c>
      <c r="BC21" s="43">
        <f>AW21+AX21</f>
        <v>0</v>
      </c>
      <c r="BD21" s="43">
        <f>I21/(100-BE21)*100</f>
        <v>0</v>
      </c>
      <c r="BE21" s="43">
        <v>0</v>
      </c>
      <c r="BF21" s="43">
        <f>21</f>
        <v>21</v>
      </c>
      <c r="BH21" s="24">
        <f>H21*AO21</f>
        <v>0</v>
      </c>
      <c r="BI21" s="24">
        <f>H21*AP21</f>
        <v>0</v>
      </c>
      <c r="BJ21" s="24">
        <f>H21*I21</f>
        <v>0</v>
      </c>
      <c r="BK21" s="24" t="s">
        <v>187</v>
      </c>
      <c r="BL21" s="43">
        <v>16</v>
      </c>
    </row>
    <row r="22" spans="1:14" ht="12.75">
      <c r="A22" s="5"/>
      <c r="B22" s="130"/>
      <c r="C22" s="17" t="s">
        <v>73</v>
      </c>
      <c r="D22" s="130"/>
      <c r="E22" s="130"/>
      <c r="F22" s="19"/>
      <c r="H22" s="25">
        <v>5.6875</v>
      </c>
      <c r="M22" s="37"/>
      <c r="N22" s="5"/>
    </row>
    <row r="23" spans="1:64" ht="12.75">
      <c r="A23" s="4" t="s">
        <v>10</v>
      </c>
      <c r="B23" s="66" t="s">
        <v>34</v>
      </c>
      <c r="C23" s="98" t="s">
        <v>75</v>
      </c>
      <c r="D23" s="99"/>
      <c r="E23" s="99"/>
      <c r="F23" s="99"/>
      <c r="G23" s="13" t="s">
        <v>138</v>
      </c>
      <c r="H23" s="24">
        <v>108.0625</v>
      </c>
      <c r="I23" s="24">
        <v>0</v>
      </c>
      <c r="J23" s="24">
        <f>H23*AO23</f>
        <v>0</v>
      </c>
      <c r="K23" s="24">
        <f>H23*AP23</f>
        <v>0</v>
      </c>
      <c r="L23" s="24">
        <f>H23*I23</f>
        <v>0</v>
      </c>
      <c r="M23" s="36" t="s">
        <v>157</v>
      </c>
      <c r="N23" s="5"/>
      <c r="Z23" s="43">
        <f>IF(AQ23="5",BJ23,0)</f>
        <v>0</v>
      </c>
      <c r="AB23" s="43">
        <f>IF(AQ23="1",BH23,0)</f>
        <v>0</v>
      </c>
      <c r="AC23" s="43">
        <f>IF(AQ23="1",BI23,0)</f>
        <v>0</v>
      </c>
      <c r="AD23" s="43">
        <f>IF(AQ23="7",BH23,0)</f>
        <v>0</v>
      </c>
      <c r="AE23" s="43">
        <f>IF(AQ23="7",BI23,0)</f>
        <v>0</v>
      </c>
      <c r="AF23" s="43">
        <f>IF(AQ23="2",BH23,0)</f>
        <v>0</v>
      </c>
      <c r="AG23" s="43">
        <f>IF(AQ23="2",BI23,0)</f>
        <v>0</v>
      </c>
      <c r="AH23" s="43">
        <f>IF(AQ23="0",BJ23,0)</f>
        <v>0</v>
      </c>
      <c r="AI23" s="42"/>
      <c r="AJ23" s="24">
        <f>IF(AN23=0,L23,0)</f>
        <v>0</v>
      </c>
      <c r="AK23" s="24">
        <f>IF(AN23=15,L23,0)</f>
        <v>0</v>
      </c>
      <c r="AL23" s="24">
        <f>IF(AN23=21,L23,0)</f>
        <v>0</v>
      </c>
      <c r="AN23" s="43">
        <v>21</v>
      </c>
      <c r="AO23" s="43">
        <f>I23*0</f>
        <v>0</v>
      </c>
      <c r="AP23" s="43">
        <f>I23*(1-0)</f>
        <v>0</v>
      </c>
      <c r="AQ23" s="44" t="s">
        <v>7</v>
      </c>
      <c r="AV23" s="43">
        <f>AW23+AX23</f>
        <v>0</v>
      </c>
      <c r="AW23" s="43">
        <f>H23*AO23</f>
        <v>0</v>
      </c>
      <c r="AX23" s="43">
        <f>H23*AP23</f>
        <v>0</v>
      </c>
      <c r="AY23" s="46" t="s">
        <v>168</v>
      </c>
      <c r="AZ23" s="46" t="s">
        <v>177</v>
      </c>
      <c r="BA23" s="42" t="s">
        <v>182</v>
      </c>
      <c r="BC23" s="43">
        <f>AW23+AX23</f>
        <v>0</v>
      </c>
      <c r="BD23" s="43">
        <f>I23/(100-BE23)*100</f>
        <v>0</v>
      </c>
      <c r="BE23" s="43">
        <v>0</v>
      </c>
      <c r="BF23" s="43">
        <f>23</f>
        <v>23</v>
      </c>
      <c r="BH23" s="24">
        <f>H23*AO23</f>
        <v>0</v>
      </c>
      <c r="BI23" s="24">
        <f>H23*AP23</f>
        <v>0</v>
      </c>
      <c r="BJ23" s="24">
        <f>H23*I23</f>
        <v>0</v>
      </c>
      <c r="BK23" s="24" t="s">
        <v>187</v>
      </c>
      <c r="BL23" s="43">
        <v>16</v>
      </c>
    </row>
    <row r="24" spans="1:14" ht="12.75">
      <c r="A24" s="5"/>
      <c r="C24" s="17" t="s">
        <v>76</v>
      </c>
      <c r="F24" s="19"/>
      <c r="H24" s="25">
        <v>108.0625</v>
      </c>
      <c r="M24" s="37"/>
      <c r="N24" s="5"/>
    </row>
    <row r="25" spans="1:47" ht="12.75">
      <c r="A25" s="6"/>
      <c r="B25" s="14" t="s">
        <v>23</v>
      </c>
      <c r="C25" s="84" t="s">
        <v>77</v>
      </c>
      <c r="D25" s="85"/>
      <c r="E25" s="85"/>
      <c r="F25" s="85"/>
      <c r="G25" s="22" t="s">
        <v>6</v>
      </c>
      <c r="H25" s="22" t="s">
        <v>6</v>
      </c>
      <c r="I25" s="22" t="s">
        <v>6</v>
      </c>
      <c r="J25" s="49">
        <f>SUM(J26:J28)</f>
        <v>0</v>
      </c>
      <c r="K25" s="49">
        <f>SUM(K26:K28)</f>
        <v>0</v>
      </c>
      <c r="L25" s="49">
        <f>SUM(L26:L28)</f>
        <v>0</v>
      </c>
      <c r="M25" s="38"/>
      <c r="N25" s="5"/>
      <c r="AI25" s="42"/>
      <c r="AS25" s="49">
        <f>SUM(AJ26:AJ28)</f>
        <v>0</v>
      </c>
      <c r="AT25" s="49">
        <f>SUM(AK26:AK28)</f>
        <v>0</v>
      </c>
      <c r="AU25" s="49">
        <f>SUM(AL26:AL28)</f>
        <v>0</v>
      </c>
    </row>
    <row r="26" spans="1:64" ht="12.75">
      <c r="A26" s="4" t="s">
        <v>11</v>
      </c>
      <c r="B26" s="66" t="s">
        <v>35</v>
      </c>
      <c r="C26" s="98" t="s">
        <v>78</v>
      </c>
      <c r="D26" s="99"/>
      <c r="E26" s="99"/>
      <c r="F26" s="99"/>
      <c r="G26" s="13" t="s">
        <v>138</v>
      </c>
      <c r="H26" s="24">
        <v>5.6875</v>
      </c>
      <c r="I26" s="24">
        <v>0</v>
      </c>
      <c r="J26" s="24">
        <f>H26*AO26</f>
        <v>0</v>
      </c>
      <c r="K26" s="24">
        <f>H26*AP26</f>
        <v>0</v>
      </c>
      <c r="L26" s="24">
        <f>H26*I26</f>
        <v>0</v>
      </c>
      <c r="M26" s="36" t="s">
        <v>157</v>
      </c>
      <c r="N26" s="5"/>
      <c r="Z26" s="43">
        <f>IF(AQ26="5",BJ26,0)</f>
        <v>0</v>
      </c>
      <c r="AB26" s="43">
        <f>IF(AQ26="1",BH26,0)</f>
        <v>0</v>
      </c>
      <c r="AC26" s="43">
        <f>IF(AQ26="1",BI26,0)</f>
        <v>0</v>
      </c>
      <c r="AD26" s="43">
        <f>IF(AQ26="7",BH26,0)</f>
        <v>0</v>
      </c>
      <c r="AE26" s="43">
        <f>IF(AQ26="7",BI26,0)</f>
        <v>0</v>
      </c>
      <c r="AF26" s="43">
        <f>IF(AQ26="2",BH26,0)</f>
        <v>0</v>
      </c>
      <c r="AG26" s="43">
        <f>IF(AQ26="2",BI26,0)</f>
        <v>0</v>
      </c>
      <c r="AH26" s="43">
        <f>IF(AQ26="0",BJ26,0)</f>
        <v>0</v>
      </c>
      <c r="AI26" s="42"/>
      <c r="AJ26" s="24">
        <f>IF(AN26=0,L26,0)</f>
        <v>0</v>
      </c>
      <c r="AK26" s="24">
        <f>IF(AN26=15,L26,0)</f>
        <v>0</v>
      </c>
      <c r="AL26" s="24">
        <f>IF(AN26=21,L26,0)</f>
        <v>0</v>
      </c>
      <c r="AN26" s="43">
        <v>21</v>
      </c>
      <c r="AO26" s="43">
        <f>I26*0</f>
        <v>0</v>
      </c>
      <c r="AP26" s="43">
        <f>I26*(1-0)</f>
        <v>0</v>
      </c>
      <c r="AQ26" s="44" t="s">
        <v>7</v>
      </c>
      <c r="AV26" s="43">
        <f>AW26+AX26</f>
        <v>0</v>
      </c>
      <c r="AW26" s="43">
        <f>H26*AO26</f>
        <v>0</v>
      </c>
      <c r="AX26" s="43">
        <f>H26*AP26</f>
        <v>0</v>
      </c>
      <c r="AY26" s="46" t="s">
        <v>169</v>
      </c>
      <c r="AZ26" s="46" t="s">
        <v>177</v>
      </c>
      <c r="BA26" s="42" t="s">
        <v>182</v>
      </c>
      <c r="BC26" s="43">
        <f>AW26+AX26</f>
        <v>0</v>
      </c>
      <c r="BD26" s="43">
        <f>I26/(100-BE26)*100</f>
        <v>0</v>
      </c>
      <c r="BE26" s="43">
        <v>0</v>
      </c>
      <c r="BF26" s="43">
        <f>26</f>
        <v>26</v>
      </c>
      <c r="BH26" s="24">
        <f>H26*AO26</f>
        <v>0</v>
      </c>
      <c r="BI26" s="24">
        <f>H26*AP26</f>
        <v>0</v>
      </c>
      <c r="BJ26" s="24">
        <f>H26*I26</f>
        <v>0</v>
      </c>
      <c r="BK26" s="24" t="s">
        <v>187</v>
      </c>
      <c r="BL26" s="43">
        <v>17</v>
      </c>
    </row>
    <row r="27" spans="1:14" ht="12.75">
      <c r="A27" s="5"/>
      <c r="B27" s="130"/>
      <c r="C27" s="17" t="s">
        <v>73</v>
      </c>
      <c r="D27" s="130"/>
      <c r="E27" s="130"/>
      <c r="F27" s="19"/>
      <c r="H27" s="25">
        <v>5.6875</v>
      </c>
      <c r="M27" s="37"/>
      <c r="N27" s="5"/>
    </row>
    <row r="28" spans="1:64" ht="12.75">
      <c r="A28" s="4" t="s">
        <v>12</v>
      </c>
      <c r="B28" s="66" t="s">
        <v>36</v>
      </c>
      <c r="C28" s="98" t="s">
        <v>79</v>
      </c>
      <c r="D28" s="99"/>
      <c r="E28" s="99"/>
      <c r="F28" s="99"/>
      <c r="G28" s="13" t="s">
        <v>138</v>
      </c>
      <c r="H28" s="24">
        <v>5.6875</v>
      </c>
      <c r="I28" s="24">
        <v>0</v>
      </c>
      <c r="J28" s="24">
        <f>H28*AO28</f>
        <v>0</v>
      </c>
      <c r="K28" s="24">
        <f>H28*AP28</f>
        <v>0</v>
      </c>
      <c r="L28" s="24">
        <f>H28*I28</f>
        <v>0</v>
      </c>
      <c r="M28" s="36" t="s">
        <v>157</v>
      </c>
      <c r="N28" s="5"/>
      <c r="Z28" s="43">
        <f>IF(AQ28="5",BJ28,0)</f>
        <v>0</v>
      </c>
      <c r="AB28" s="43">
        <f>IF(AQ28="1",BH28,0)</f>
        <v>0</v>
      </c>
      <c r="AC28" s="43">
        <f>IF(AQ28="1",BI28,0)</f>
        <v>0</v>
      </c>
      <c r="AD28" s="43">
        <f>IF(AQ28="7",BH28,0)</f>
        <v>0</v>
      </c>
      <c r="AE28" s="43">
        <f>IF(AQ28="7",BI28,0)</f>
        <v>0</v>
      </c>
      <c r="AF28" s="43">
        <f>IF(AQ28="2",BH28,0)</f>
        <v>0</v>
      </c>
      <c r="AG28" s="43">
        <f>IF(AQ28="2",BI28,0)</f>
        <v>0</v>
      </c>
      <c r="AH28" s="43">
        <f>IF(AQ28="0",BJ28,0)</f>
        <v>0</v>
      </c>
      <c r="AI28" s="42"/>
      <c r="AJ28" s="24">
        <f>IF(AN28=0,L28,0)</f>
        <v>0</v>
      </c>
      <c r="AK28" s="24">
        <f>IF(AN28=15,L28,0)</f>
        <v>0</v>
      </c>
      <c r="AL28" s="24">
        <f>IF(AN28=21,L28,0)</f>
        <v>0</v>
      </c>
      <c r="AN28" s="43">
        <v>21</v>
      </c>
      <c r="AO28" s="43">
        <f>I28*0</f>
        <v>0</v>
      </c>
      <c r="AP28" s="43">
        <f>I28*(1-0)</f>
        <v>0</v>
      </c>
      <c r="AQ28" s="44" t="s">
        <v>7</v>
      </c>
      <c r="AV28" s="43">
        <f>AW28+AX28</f>
        <v>0</v>
      </c>
      <c r="AW28" s="43">
        <f>H28*AO28</f>
        <v>0</v>
      </c>
      <c r="AX28" s="43">
        <f>H28*AP28</f>
        <v>0</v>
      </c>
      <c r="AY28" s="46" t="s">
        <v>169</v>
      </c>
      <c r="AZ28" s="46" t="s">
        <v>177</v>
      </c>
      <c r="BA28" s="42" t="s">
        <v>182</v>
      </c>
      <c r="BC28" s="43">
        <f>AW28+AX28</f>
        <v>0</v>
      </c>
      <c r="BD28" s="43">
        <f>I28/(100-BE28)*100</f>
        <v>0</v>
      </c>
      <c r="BE28" s="43">
        <v>0</v>
      </c>
      <c r="BF28" s="43">
        <f>28</f>
        <v>28</v>
      </c>
      <c r="BH28" s="24">
        <f>H28*AO28</f>
        <v>0</v>
      </c>
      <c r="BI28" s="24">
        <f>H28*AP28</f>
        <v>0</v>
      </c>
      <c r="BJ28" s="24">
        <f>H28*I28</f>
        <v>0</v>
      </c>
      <c r="BK28" s="24" t="s">
        <v>187</v>
      </c>
      <c r="BL28" s="43">
        <v>17</v>
      </c>
    </row>
    <row r="29" spans="1:14" ht="12.75">
      <c r="A29" s="5"/>
      <c r="C29" s="17" t="s">
        <v>73</v>
      </c>
      <c r="F29" s="19"/>
      <c r="H29" s="25">
        <v>5.6875</v>
      </c>
      <c r="M29" s="37"/>
      <c r="N29" s="5"/>
    </row>
    <row r="30" spans="1:47" ht="12.75">
      <c r="A30" s="6"/>
      <c r="B30" s="14" t="s">
        <v>37</v>
      </c>
      <c r="C30" s="84" t="s">
        <v>80</v>
      </c>
      <c r="D30" s="85"/>
      <c r="E30" s="85"/>
      <c r="F30" s="85"/>
      <c r="G30" s="22" t="s">
        <v>6</v>
      </c>
      <c r="H30" s="22" t="s">
        <v>6</v>
      </c>
      <c r="I30" s="22" t="s">
        <v>6</v>
      </c>
      <c r="J30" s="49">
        <f>SUM(J31:J39)</f>
        <v>0</v>
      </c>
      <c r="K30" s="49">
        <f>SUM(K31:K39)</f>
        <v>0</v>
      </c>
      <c r="L30" s="49">
        <f>SUM(L31:L39)</f>
        <v>0</v>
      </c>
      <c r="M30" s="38"/>
      <c r="N30" s="5"/>
      <c r="AI30" s="42"/>
      <c r="AS30" s="49">
        <f>SUM(AJ31:AJ39)</f>
        <v>0</v>
      </c>
      <c r="AT30" s="49">
        <f>SUM(AK31:AK39)</f>
        <v>0</v>
      </c>
      <c r="AU30" s="49">
        <f>SUM(AL31:AL39)</f>
        <v>0</v>
      </c>
    </row>
    <row r="31" spans="1:64" ht="12.75">
      <c r="A31" s="4" t="s">
        <v>13</v>
      </c>
      <c r="B31" s="66" t="s">
        <v>38</v>
      </c>
      <c r="C31" s="98" t="s">
        <v>81</v>
      </c>
      <c r="D31" s="99"/>
      <c r="E31" s="99"/>
      <c r="F31" s="99"/>
      <c r="G31" s="13" t="s">
        <v>138</v>
      </c>
      <c r="H31" s="24">
        <v>6.85</v>
      </c>
      <c r="I31" s="24">
        <v>0</v>
      </c>
      <c r="J31" s="24">
        <f>H31*AO31</f>
        <v>0</v>
      </c>
      <c r="K31" s="24">
        <f>H31*AP31</f>
        <v>0</v>
      </c>
      <c r="L31" s="24">
        <f>H31*I31</f>
        <v>0</v>
      </c>
      <c r="M31" s="36" t="s">
        <v>157</v>
      </c>
      <c r="N31" s="5"/>
      <c r="Z31" s="43">
        <f>IF(AQ31="5",BJ31,0)</f>
        <v>0</v>
      </c>
      <c r="AB31" s="43">
        <f>IF(AQ31="1",BH31,0)</f>
        <v>0</v>
      </c>
      <c r="AC31" s="43">
        <f>IF(AQ31="1",BI31,0)</f>
        <v>0</v>
      </c>
      <c r="AD31" s="43">
        <f>IF(AQ31="7",BH31,0)</f>
        <v>0</v>
      </c>
      <c r="AE31" s="43">
        <f>IF(AQ31="7",BI31,0)</f>
        <v>0</v>
      </c>
      <c r="AF31" s="43">
        <f>IF(AQ31="2",BH31,0)</f>
        <v>0</v>
      </c>
      <c r="AG31" s="43">
        <f>IF(AQ31="2",BI31,0)</f>
        <v>0</v>
      </c>
      <c r="AH31" s="43">
        <f>IF(AQ31="0",BJ31,0)</f>
        <v>0</v>
      </c>
      <c r="AI31" s="42"/>
      <c r="AJ31" s="24">
        <f>IF(AN31=0,L31,0)</f>
        <v>0</v>
      </c>
      <c r="AK31" s="24">
        <f>IF(AN31=15,L31,0)</f>
        <v>0</v>
      </c>
      <c r="AL31" s="24">
        <f>IF(AN31=21,L31,0)</f>
        <v>0</v>
      </c>
      <c r="AN31" s="43">
        <v>21</v>
      </c>
      <c r="AO31" s="43">
        <f>I31*0.895806338028169</f>
        <v>0</v>
      </c>
      <c r="AP31" s="43">
        <f>I31*(1-0.895806338028169)</f>
        <v>0</v>
      </c>
      <c r="AQ31" s="44" t="s">
        <v>7</v>
      </c>
      <c r="AV31" s="43">
        <f>AW31+AX31</f>
        <v>0</v>
      </c>
      <c r="AW31" s="43">
        <f>H31*AO31</f>
        <v>0</v>
      </c>
      <c r="AX31" s="43">
        <f>H31*AP31</f>
        <v>0</v>
      </c>
      <c r="AY31" s="46" t="s">
        <v>170</v>
      </c>
      <c r="AZ31" s="46" t="s">
        <v>178</v>
      </c>
      <c r="BA31" s="42" t="s">
        <v>182</v>
      </c>
      <c r="BC31" s="43">
        <f>AW31+AX31</f>
        <v>0</v>
      </c>
      <c r="BD31" s="43">
        <f>I31/(100-BE31)*100</f>
        <v>0</v>
      </c>
      <c r="BE31" s="43">
        <v>0</v>
      </c>
      <c r="BF31" s="43">
        <f>31</f>
        <v>31</v>
      </c>
      <c r="BH31" s="24">
        <f>H31*AO31</f>
        <v>0</v>
      </c>
      <c r="BI31" s="24">
        <f>H31*AP31</f>
        <v>0</v>
      </c>
      <c r="BJ31" s="24">
        <f>H31*I31</f>
        <v>0</v>
      </c>
      <c r="BK31" s="24" t="s">
        <v>187</v>
      </c>
      <c r="BL31" s="43">
        <v>27</v>
      </c>
    </row>
    <row r="32" spans="1:14" ht="12.75">
      <c r="A32" s="5"/>
      <c r="B32" s="130"/>
      <c r="C32" s="17" t="s">
        <v>82</v>
      </c>
      <c r="D32" s="130"/>
      <c r="E32" s="130"/>
      <c r="F32" s="19"/>
      <c r="H32" s="25">
        <v>3.456</v>
      </c>
      <c r="M32" s="37"/>
      <c r="N32" s="5"/>
    </row>
    <row r="33" spans="1:14" ht="12.75">
      <c r="A33" s="5"/>
      <c r="B33" s="130"/>
      <c r="C33" s="17" t="s">
        <v>83</v>
      </c>
      <c r="D33" s="130"/>
      <c r="E33" s="130"/>
      <c r="F33" s="19"/>
      <c r="H33" s="25">
        <v>1</v>
      </c>
      <c r="M33" s="37"/>
      <c r="N33" s="5"/>
    </row>
    <row r="34" spans="1:14" ht="12.75">
      <c r="A34" s="5"/>
      <c r="B34" s="130"/>
      <c r="C34" s="17" t="s">
        <v>84</v>
      </c>
      <c r="D34" s="130"/>
      <c r="E34" s="130"/>
      <c r="F34" s="19"/>
      <c r="H34" s="25">
        <v>0.144</v>
      </c>
      <c r="M34" s="37"/>
      <c r="N34" s="5"/>
    </row>
    <row r="35" spans="1:14" ht="12.75">
      <c r="A35" s="5"/>
      <c r="B35" s="130"/>
      <c r="C35" s="17" t="s">
        <v>85</v>
      </c>
      <c r="D35" s="130"/>
      <c r="E35" s="130"/>
      <c r="F35" s="19"/>
      <c r="H35" s="25">
        <v>2.25</v>
      </c>
      <c r="M35" s="37"/>
      <c r="N35" s="5"/>
    </row>
    <row r="36" spans="1:64" ht="12.75">
      <c r="A36" s="4" t="s">
        <v>14</v>
      </c>
      <c r="B36" s="66" t="s">
        <v>39</v>
      </c>
      <c r="C36" s="98" t="s">
        <v>86</v>
      </c>
      <c r="D36" s="99"/>
      <c r="E36" s="99"/>
      <c r="F36" s="99"/>
      <c r="G36" s="13" t="s">
        <v>139</v>
      </c>
      <c r="H36" s="24">
        <v>11.04</v>
      </c>
      <c r="I36" s="24">
        <v>0</v>
      </c>
      <c r="J36" s="24">
        <f>H36*AO36</f>
        <v>0</v>
      </c>
      <c r="K36" s="24">
        <f>H36*AP36</f>
        <v>0</v>
      </c>
      <c r="L36" s="24">
        <f>H36*I36</f>
        <v>0</v>
      </c>
      <c r="M36" s="36" t="s">
        <v>157</v>
      </c>
      <c r="N36" s="5"/>
      <c r="Z36" s="43">
        <f>IF(AQ36="5",BJ36,0)</f>
        <v>0</v>
      </c>
      <c r="AB36" s="43">
        <f>IF(AQ36="1",BH36,0)</f>
        <v>0</v>
      </c>
      <c r="AC36" s="43">
        <f>IF(AQ36="1",BI36,0)</f>
        <v>0</v>
      </c>
      <c r="AD36" s="43">
        <f>IF(AQ36="7",BH36,0)</f>
        <v>0</v>
      </c>
      <c r="AE36" s="43">
        <f>IF(AQ36="7",BI36,0)</f>
        <v>0</v>
      </c>
      <c r="AF36" s="43">
        <f>IF(AQ36="2",BH36,0)</f>
        <v>0</v>
      </c>
      <c r="AG36" s="43">
        <f>IF(AQ36="2",BI36,0)</f>
        <v>0</v>
      </c>
      <c r="AH36" s="43">
        <f>IF(AQ36="0",BJ36,0)</f>
        <v>0</v>
      </c>
      <c r="AI36" s="42"/>
      <c r="AJ36" s="24">
        <f>IF(AN36=0,L36,0)</f>
        <v>0</v>
      </c>
      <c r="AK36" s="24">
        <f>IF(AN36=15,L36,0)</f>
        <v>0</v>
      </c>
      <c r="AL36" s="24">
        <f>IF(AN36=21,L36,0)</f>
        <v>0</v>
      </c>
      <c r="AN36" s="43">
        <v>21</v>
      </c>
      <c r="AO36" s="43">
        <f>I36*0.276818923327896</f>
        <v>0</v>
      </c>
      <c r="AP36" s="43">
        <f>I36*(1-0.276818923327896)</f>
        <v>0</v>
      </c>
      <c r="AQ36" s="44" t="s">
        <v>7</v>
      </c>
      <c r="AV36" s="43">
        <f>AW36+AX36</f>
        <v>0</v>
      </c>
      <c r="AW36" s="43">
        <f>H36*AO36</f>
        <v>0</v>
      </c>
      <c r="AX36" s="43">
        <f>H36*AP36</f>
        <v>0</v>
      </c>
      <c r="AY36" s="46" t="s">
        <v>170</v>
      </c>
      <c r="AZ36" s="46" t="s">
        <v>178</v>
      </c>
      <c r="BA36" s="42" t="s">
        <v>182</v>
      </c>
      <c r="BC36" s="43">
        <f>AW36+AX36</f>
        <v>0</v>
      </c>
      <c r="BD36" s="43">
        <f>I36/(100-BE36)*100</f>
        <v>0</v>
      </c>
      <c r="BE36" s="43">
        <v>0</v>
      </c>
      <c r="BF36" s="43">
        <f>36</f>
        <v>36</v>
      </c>
      <c r="BH36" s="24">
        <f>H36*AO36</f>
        <v>0</v>
      </c>
      <c r="BI36" s="24">
        <f>H36*AP36</f>
        <v>0</v>
      </c>
      <c r="BJ36" s="24">
        <f>H36*I36</f>
        <v>0</v>
      </c>
      <c r="BK36" s="24" t="s">
        <v>187</v>
      </c>
      <c r="BL36" s="43">
        <v>27</v>
      </c>
    </row>
    <row r="37" spans="1:14" ht="12.75">
      <c r="A37" s="5"/>
      <c r="B37" s="130"/>
      <c r="C37" s="17" t="s">
        <v>87</v>
      </c>
      <c r="D37" s="130"/>
      <c r="E37" s="130"/>
      <c r="F37" s="19"/>
      <c r="H37" s="25">
        <v>8.64</v>
      </c>
      <c r="M37" s="37"/>
      <c r="N37" s="5"/>
    </row>
    <row r="38" spans="1:14" ht="12.75">
      <c r="A38" s="5"/>
      <c r="B38" s="130"/>
      <c r="C38" s="17" t="s">
        <v>88</v>
      </c>
      <c r="D38" s="130"/>
      <c r="E38" s="130"/>
      <c r="F38" s="19"/>
      <c r="H38" s="25">
        <v>2.4</v>
      </c>
      <c r="M38" s="37"/>
      <c r="N38" s="5"/>
    </row>
    <row r="39" spans="1:64" ht="12.75">
      <c r="A39" s="4" t="s">
        <v>15</v>
      </c>
      <c r="B39" s="66" t="s">
        <v>40</v>
      </c>
      <c r="C39" s="98" t="s">
        <v>89</v>
      </c>
      <c r="D39" s="99"/>
      <c r="E39" s="99"/>
      <c r="F39" s="99"/>
      <c r="G39" s="13" t="s">
        <v>139</v>
      </c>
      <c r="H39" s="24">
        <v>11.04</v>
      </c>
      <c r="I39" s="24">
        <v>0</v>
      </c>
      <c r="J39" s="24">
        <f>H39*AO39</f>
        <v>0</v>
      </c>
      <c r="K39" s="24">
        <f>H39*AP39</f>
        <v>0</v>
      </c>
      <c r="L39" s="24">
        <f>H39*I39</f>
        <v>0</v>
      </c>
      <c r="M39" s="36" t="s">
        <v>157</v>
      </c>
      <c r="N39" s="5"/>
      <c r="Z39" s="43">
        <f>IF(AQ39="5",BJ39,0)</f>
        <v>0</v>
      </c>
      <c r="AB39" s="43">
        <f>IF(AQ39="1",BH39,0)</f>
        <v>0</v>
      </c>
      <c r="AC39" s="43">
        <f>IF(AQ39="1",BI39,0)</f>
        <v>0</v>
      </c>
      <c r="AD39" s="43">
        <f>IF(AQ39="7",BH39,0)</f>
        <v>0</v>
      </c>
      <c r="AE39" s="43">
        <f>IF(AQ39="7",BI39,0)</f>
        <v>0</v>
      </c>
      <c r="AF39" s="43">
        <f>IF(AQ39="2",BH39,0)</f>
        <v>0</v>
      </c>
      <c r="AG39" s="43">
        <f>IF(AQ39="2",BI39,0)</f>
        <v>0</v>
      </c>
      <c r="AH39" s="43">
        <f>IF(AQ39="0",BJ39,0)</f>
        <v>0</v>
      </c>
      <c r="AI39" s="42"/>
      <c r="AJ39" s="24">
        <f>IF(AN39=0,L39,0)</f>
        <v>0</v>
      </c>
      <c r="AK39" s="24">
        <f>IF(AN39=15,L39,0)</f>
        <v>0</v>
      </c>
      <c r="AL39" s="24">
        <f>IF(AN39=21,L39,0)</f>
        <v>0</v>
      </c>
      <c r="AN39" s="43">
        <v>21</v>
      </c>
      <c r="AO39" s="43">
        <f>I39*0</f>
        <v>0</v>
      </c>
      <c r="AP39" s="43">
        <f>I39*(1-0)</f>
        <v>0</v>
      </c>
      <c r="AQ39" s="44" t="s">
        <v>7</v>
      </c>
      <c r="AV39" s="43">
        <f>AW39+AX39</f>
        <v>0</v>
      </c>
      <c r="AW39" s="43">
        <f>H39*AO39</f>
        <v>0</v>
      </c>
      <c r="AX39" s="43">
        <f>H39*AP39</f>
        <v>0</v>
      </c>
      <c r="AY39" s="46" t="s">
        <v>170</v>
      </c>
      <c r="AZ39" s="46" t="s">
        <v>178</v>
      </c>
      <c r="BA39" s="42" t="s">
        <v>182</v>
      </c>
      <c r="BC39" s="43">
        <f>AW39+AX39</f>
        <v>0</v>
      </c>
      <c r="BD39" s="43">
        <f>I39/(100-BE39)*100</f>
        <v>0</v>
      </c>
      <c r="BE39" s="43">
        <v>0</v>
      </c>
      <c r="BF39" s="43">
        <f>39</f>
        <v>39</v>
      </c>
      <c r="BH39" s="24">
        <f>H39*AO39</f>
        <v>0</v>
      </c>
      <c r="BI39" s="24">
        <f>H39*AP39</f>
        <v>0</v>
      </c>
      <c r="BJ39" s="24">
        <f>H39*I39</f>
        <v>0</v>
      </c>
      <c r="BK39" s="24" t="s">
        <v>187</v>
      </c>
      <c r="BL39" s="43">
        <v>27</v>
      </c>
    </row>
    <row r="40" spans="1:14" ht="12.75">
      <c r="A40" s="5"/>
      <c r="C40" s="17" t="s">
        <v>90</v>
      </c>
      <c r="F40" s="19"/>
      <c r="H40" s="25">
        <v>11.04</v>
      </c>
      <c r="M40" s="37"/>
      <c r="N40" s="5"/>
    </row>
    <row r="41" spans="1:47" ht="12.75">
      <c r="A41" s="6"/>
      <c r="B41" s="14" t="s">
        <v>41</v>
      </c>
      <c r="C41" s="84" t="s">
        <v>91</v>
      </c>
      <c r="D41" s="85"/>
      <c r="E41" s="85"/>
      <c r="F41" s="85"/>
      <c r="G41" s="22" t="s">
        <v>6</v>
      </c>
      <c r="H41" s="22" t="s">
        <v>6</v>
      </c>
      <c r="I41" s="22" t="s">
        <v>6</v>
      </c>
      <c r="J41" s="49">
        <f>SUM(J42:J47)</f>
        <v>0</v>
      </c>
      <c r="K41" s="49">
        <f>SUM(K42:K47)</f>
        <v>0</v>
      </c>
      <c r="L41" s="49">
        <f>SUM(L42:L47)</f>
        <v>0</v>
      </c>
      <c r="M41" s="38"/>
      <c r="N41" s="5"/>
      <c r="AI41" s="42"/>
      <c r="AS41" s="49">
        <f>SUM(AJ42:AJ47)</f>
        <v>0</v>
      </c>
      <c r="AT41" s="49">
        <f>SUM(AK42:AK47)</f>
        <v>0</v>
      </c>
      <c r="AU41" s="49">
        <f>SUM(AL42:AL47)</f>
        <v>0</v>
      </c>
    </row>
    <row r="42" spans="1:64" ht="12.75">
      <c r="A42" s="4" t="s">
        <v>16</v>
      </c>
      <c r="B42" s="66" t="s">
        <v>42</v>
      </c>
      <c r="C42" s="98" t="s">
        <v>92</v>
      </c>
      <c r="D42" s="99"/>
      <c r="E42" s="99"/>
      <c r="F42" s="99"/>
      <c r="G42" s="13" t="s">
        <v>140</v>
      </c>
      <c r="H42" s="24">
        <v>132.25</v>
      </c>
      <c r="I42" s="24">
        <v>0</v>
      </c>
      <c r="J42" s="24">
        <f>H42*AO42</f>
        <v>0</v>
      </c>
      <c r="K42" s="24">
        <f>H42*AP42</f>
        <v>0</v>
      </c>
      <c r="L42" s="24">
        <f>H42*I42</f>
        <v>0</v>
      </c>
      <c r="M42" s="36" t="s">
        <v>157</v>
      </c>
      <c r="N42" s="5"/>
      <c r="Z42" s="43">
        <f>IF(AQ42="5",BJ42,0)</f>
        <v>0</v>
      </c>
      <c r="AB42" s="43">
        <f>IF(AQ42="1",BH42,0)</f>
        <v>0</v>
      </c>
      <c r="AC42" s="43">
        <f>IF(AQ42="1",BI42,0)</f>
        <v>0</v>
      </c>
      <c r="AD42" s="43">
        <f>IF(AQ42="7",BH42,0)</f>
        <v>0</v>
      </c>
      <c r="AE42" s="43">
        <f>IF(AQ42="7",BI42,0)</f>
        <v>0</v>
      </c>
      <c r="AF42" s="43">
        <f>IF(AQ42="2",BH42,0)</f>
        <v>0</v>
      </c>
      <c r="AG42" s="43">
        <f>IF(AQ42="2",BI42,0)</f>
        <v>0</v>
      </c>
      <c r="AH42" s="43">
        <f>IF(AQ42="0",BJ42,0)</f>
        <v>0</v>
      </c>
      <c r="AI42" s="42"/>
      <c r="AJ42" s="24">
        <f>IF(AN42=0,L42,0)</f>
        <v>0</v>
      </c>
      <c r="AK42" s="24">
        <f>IF(AN42=15,L42,0)</f>
        <v>0</v>
      </c>
      <c r="AL42" s="24">
        <f>IF(AN42=21,L42,0)</f>
        <v>0</v>
      </c>
      <c r="AN42" s="43">
        <v>21</v>
      </c>
      <c r="AO42" s="43">
        <f>I42*0.661538344937522</f>
        <v>0</v>
      </c>
      <c r="AP42" s="43">
        <f>I42*(1-0.661538344937522)</f>
        <v>0</v>
      </c>
      <c r="AQ42" s="44" t="s">
        <v>7</v>
      </c>
      <c r="AV42" s="43">
        <f>AW42+AX42</f>
        <v>0</v>
      </c>
      <c r="AW42" s="43">
        <f>H42*AO42</f>
        <v>0</v>
      </c>
      <c r="AX42" s="43">
        <f>H42*AP42</f>
        <v>0</v>
      </c>
      <c r="AY42" s="46" t="s">
        <v>171</v>
      </c>
      <c r="AZ42" s="46" t="s">
        <v>179</v>
      </c>
      <c r="BA42" s="42" t="s">
        <v>182</v>
      </c>
      <c r="BC42" s="43">
        <f>AW42+AX42</f>
        <v>0</v>
      </c>
      <c r="BD42" s="43">
        <f>I42/(100-BE42)*100</f>
        <v>0</v>
      </c>
      <c r="BE42" s="43">
        <v>0</v>
      </c>
      <c r="BF42" s="43">
        <f>42</f>
        <v>42</v>
      </c>
      <c r="BH42" s="24">
        <f>H42*AO42</f>
        <v>0</v>
      </c>
      <c r="BI42" s="24">
        <f>H42*AP42</f>
        <v>0</v>
      </c>
      <c r="BJ42" s="24">
        <f>H42*I42</f>
        <v>0</v>
      </c>
      <c r="BK42" s="24" t="s">
        <v>187</v>
      </c>
      <c r="BL42" s="43">
        <v>63</v>
      </c>
    </row>
    <row r="43" spans="1:14" ht="12.75">
      <c r="A43" s="5"/>
      <c r="B43" s="130"/>
      <c r="C43" s="17" t="s">
        <v>93</v>
      </c>
      <c r="D43" s="130"/>
      <c r="E43" s="130"/>
      <c r="F43" s="19"/>
      <c r="H43" s="25">
        <v>115.2</v>
      </c>
      <c r="M43" s="37"/>
      <c r="N43" s="5"/>
    </row>
    <row r="44" spans="1:14" ht="12.75">
      <c r="A44" s="5"/>
      <c r="B44" s="130"/>
      <c r="C44" s="17" t="s">
        <v>94</v>
      </c>
      <c r="D44" s="130"/>
      <c r="E44" s="130"/>
      <c r="F44" s="19"/>
      <c r="H44" s="25">
        <v>4</v>
      </c>
      <c r="M44" s="37"/>
      <c r="N44" s="5"/>
    </row>
    <row r="45" spans="1:14" ht="12.75">
      <c r="A45" s="5"/>
      <c r="B45" s="130"/>
      <c r="C45" s="17" t="s">
        <v>95</v>
      </c>
      <c r="D45" s="130"/>
      <c r="E45" s="130"/>
      <c r="F45" s="19"/>
      <c r="H45" s="25">
        <v>4.8</v>
      </c>
      <c r="M45" s="37"/>
      <c r="N45" s="5"/>
    </row>
    <row r="46" spans="1:14" ht="12.75">
      <c r="A46" s="5"/>
      <c r="B46" s="130"/>
      <c r="C46" s="17" t="s">
        <v>96</v>
      </c>
      <c r="D46" s="130"/>
      <c r="E46" s="130"/>
      <c r="F46" s="19"/>
      <c r="H46" s="25">
        <v>8.25</v>
      </c>
      <c r="M46" s="37"/>
      <c r="N46" s="5"/>
    </row>
    <row r="47" spans="1:64" ht="12.75">
      <c r="A47" s="4" t="s">
        <v>17</v>
      </c>
      <c r="B47" s="66" t="s">
        <v>43</v>
      </c>
      <c r="C47" s="98" t="s">
        <v>97</v>
      </c>
      <c r="D47" s="99"/>
      <c r="E47" s="99"/>
      <c r="F47" s="99"/>
      <c r="G47" s="13" t="s">
        <v>138</v>
      </c>
      <c r="H47" s="24">
        <v>2.025</v>
      </c>
      <c r="I47" s="24">
        <v>0</v>
      </c>
      <c r="J47" s="24">
        <f>H47*AO47</f>
        <v>0</v>
      </c>
      <c r="K47" s="24">
        <f>H47*AP47</f>
        <v>0</v>
      </c>
      <c r="L47" s="24">
        <f>H47*I47</f>
        <v>0</v>
      </c>
      <c r="M47" s="36" t="s">
        <v>157</v>
      </c>
      <c r="N47" s="5"/>
      <c r="Z47" s="43">
        <f>IF(AQ47="5",BJ47,0)</f>
        <v>0</v>
      </c>
      <c r="AB47" s="43">
        <f>IF(AQ47="1",BH47,0)</f>
        <v>0</v>
      </c>
      <c r="AC47" s="43">
        <f>IF(AQ47="1",BI47,0)</f>
        <v>0</v>
      </c>
      <c r="AD47" s="43">
        <f>IF(AQ47="7",BH47,0)</f>
        <v>0</v>
      </c>
      <c r="AE47" s="43">
        <f>IF(AQ47="7",BI47,0)</f>
        <v>0</v>
      </c>
      <c r="AF47" s="43">
        <f>IF(AQ47="2",BH47,0)</f>
        <v>0</v>
      </c>
      <c r="AG47" s="43">
        <f>IF(AQ47="2",BI47,0)</f>
        <v>0</v>
      </c>
      <c r="AH47" s="43">
        <f>IF(AQ47="0",BJ47,0)</f>
        <v>0</v>
      </c>
      <c r="AI47" s="42"/>
      <c r="AJ47" s="24">
        <f>IF(AN47=0,L47,0)</f>
        <v>0</v>
      </c>
      <c r="AK47" s="24">
        <f>IF(AN47=15,L47,0)</f>
        <v>0</v>
      </c>
      <c r="AL47" s="24">
        <f>IF(AN47=21,L47,0)</f>
        <v>0</v>
      </c>
      <c r="AN47" s="43">
        <v>21</v>
      </c>
      <c r="AO47" s="43">
        <f>I47*0.503198473282443</f>
        <v>0</v>
      </c>
      <c r="AP47" s="43">
        <f>I47*(1-0.503198473282443)</f>
        <v>0</v>
      </c>
      <c r="AQ47" s="44" t="s">
        <v>7</v>
      </c>
      <c r="AV47" s="43">
        <f>AW47+AX47</f>
        <v>0</v>
      </c>
      <c r="AW47" s="43">
        <f>H47*AO47</f>
        <v>0</v>
      </c>
      <c r="AX47" s="43">
        <f>H47*AP47</f>
        <v>0</v>
      </c>
      <c r="AY47" s="46" t="s">
        <v>171</v>
      </c>
      <c r="AZ47" s="46" t="s">
        <v>179</v>
      </c>
      <c r="BA47" s="42" t="s">
        <v>182</v>
      </c>
      <c r="BC47" s="43">
        <f>AW47+AX47</f>
        <v>0</v>
      </c>
      <c r="BD47" s="43">
        <f>I47/(100-BE47)*100</f>
        <v>0</v>
      </c>
      <c r="BE47" s="43">
        <v>0</v>
      </c>
      <c r="BF47" s="43">
        <f>47</f>
        <v>47</v>
      </c>
      <c r="BH47" s="24">
        <f>H47*AO47</f>
        <v>0</v>
      </c>
      <c r="BI47" s="24">
        <f>H47*AP47</f>
        <v>0</v>
      </c>
      <c r="BJ47" s="24">
        <f>H47*I47</f>
        <v>0</v>
      </c>
      <c r="BK47" s="24" t="s">
        <v>187</v>
      </c>
      <c r="BL47" s="43">
        <v>63</v>
      </c>
    </row>
    <row r="48" spans="1:14" ht="12.75">
      <c r="A48" s="5"/>
      <c r="C48" s="17" t="s">
        <v>98</v>
      </c>
      <c r="F48" s="19"/>
      <c r="H48" s="25">
        <v>1.944</v>
      </c>
      <c r="M48" s="37"/>
      <c r="N48" s="5"/>
    </row>
    <row r="49" spans="1:14" ht="12.75">
      <c r="A49" s="5"/>
      <c r="C49" s="17" t="s">
        <v>99</v>
      </c>
      <c r="F49" s="19"/>
      <c r="H49" s="25">
        <v>0.081</v>
      </c>
      <c r="M49" s="37"/>
      <c r="N49" s="5"/>
    </row>
    <row r="50" spans="1:14" ht="12.75">
      <c r="A50" s="5"/>
      <c r="C50" s="17" t="s">
        <v>100</v>
      </c>
      <c r="F50" s="19"/>
      <c r="H50" s="25">
        <v>0</v>
      </c>
      <c r="M50" s="37"/>
      <c r="N50" s="5"/>
    </row>
    <row r="51" spans="1:47" ht="12.75">
      <c r="A51" s="6"/>
      <c r="B51" s="14" t="s">
        <v>44</v>
      </c>
      <c r="C51" s="84" t="s">
        <v>101</v>
      </c>
      <c r="D51" s="85"/>
      <c r="E51" s="85"/>
      <c r="F51" s="85"/>
      <c r="G51" s="22" t="s">
        <v>6</v>
      </c>
      <c r="H51" s="22" t="s">
        <v>6</v>
      </c>
      <c r="I51" s="22" t="s">
        <v>6</v>
      </c>
      <c r="J51" s="49">
        <f>SUM(J52:J57)</f>
        <v>0</v>
      </c>
      <c r="K51" s="49">
        <f>SUM(K52:K57)</f>
        <v>0</v>
      </c>
      <c r="L51" s="49">
        <f>SUM(L52:L57)</f>
        <v>0</v>
      </c>
      <c r="M51" s="38"/>
      <c r="N51" s="5"/>
      <c r="AI51" s="42"/>
      <c r="AS51" s="49">
        <f>SUM(AJ52:AJ57)</f>
        <v>0</v>
      </c>
      <c r="AT51" s="49">
        <f>SUM(AK52:AK57)</f>
        <v>0</v>
      </c>
      <c r="AU51" s="49">
        <f>SUM(AL52:AL57)</f>
        <v>0</v>
      </c>
    </row>
    <row r="52" spans="1:64" ht="12.75">
      <c r="A52" s="4" t="s">
        <v>18</v>
      </c>
      <c r="B52" s="13" t="s">
        <v>45</v>
      </c>
      <c r="C52" s="98" t="s">
        <v>102</v>
      </c>
      <c r="D52" s="99"/>
      <c r="E52" s="99"/>
      <c r="F52" s="99"/>
      <c r="G52" s="13" t="s">
        <v>141</v>
      </c>
      <c r="H52" s="24">
        <v>1</v>
      </c>
      <c r="I52" s="24">
        <v>0</v>
      </c>
      <c r="J52" s="24">
        <f>H52*AO52</f>
        <v>0</v>
      </c>
      <c r="K52" s="24">
        <f>H52*AP52</f>
        <v>0</v>
      </c>
      <c r="L52" s="24">
        <f>H52*I52</f>
        <v>0</v>
      </c>
      <c r="M52" s="36"/>
      <c r="N52" s="5"/>
      <c r="Z52" s="43">
        <f>IF(AQ52="5",BJ52,0)</f>
        <v>0</v>
      </c>
      <c r="AB52" s="43">
        <f>IF(AQ52="1",BH52,0)</f>
        <v>0</v>
      </c>
      <c r="AC52" s="43">
        <f>IF(AQ52="1",BI52,0)</f>
        <v>0</v>
      </c>
      <c r="AD52" s="43">
        <f>IF(AQ52="7",BH52,0)</f>
        <v>0</v>
      </c>
      <c r="AE52" s="43">
        <f>IF(AQ52="7",BI52,0)</f>
        <v>0</v>
      </c>
      <c r="AF52" s="43">
        <f>IF(AQ52="2",BH52,0)</f>
        <v>0</v>
      </c>
      <c r="AG52" s="43">
        <f>IF(AQ52="2",BI52,0)</f>
        <v>0</v>
      </c>
      <c r="AH52" s="43">
        <f>IF(AQ52="0",BJ52,0)</f>
        <v>0</v>
      </c>
      <c r="AI52" s="42"/>
      <c r="AJ52" s="24">
        <f>IF(AN52=0,L52,0)</f>
        <v>0</v>
      </c>
      <c r="AK52" s="24">
        <f>IF(AN52=15,L52,0)</f>
        <v>0</v>
      </c>
      <c r="AL52" s="24">
        <f>IF(AN52=21,L52,0)</f>
        <v>0</v>
      </c>
      <c r="AN52" s="43">
        <v>21</v>
      </c>
      <c r="AO52" s="43">
        <f>I52*0</f>
        <v>0</v>
      </c>
      <c r="AP52" s="43">
        <f>I52*(1-0)</f>
        <v>0</v>
      </c>
      <c r="AQ52" s="44" t="s">
        <v>13</v>
      </c>
      <c r="AV52" s="43">
        <f>AW52+AX52</f>
        <v>0</v>
      </c>
      <c r="AW52" s="43">
        <f>H52*AO52</f>
        <v>0</v>
      </c>
      <c r="AX52" s="43">
        <f>H52*AP52</f>
        <v>0</v>
      </c>
      <c r="AY52" s="46" t="s">
        <v>172</v>
      </c>
      <c r="AZ52" s="46" t="s">
        <v>180</v>
      </c>
      <c r="BA52" s="42" t="s">
        <v>182</v>
      </c>
      <c r="BC52" s="43">
        <f>AW52+AX52</f>
        <v>0</v>
      </c>
      <c r="BD52" s="43">
        <f>I52/(100-BE52)*100</f>
        <v>0</v>
      </c>
      <c r="BE52" s="43">
        <v>0</v>
      </c>
      <c r="BF52" s="43">
        <f>52</f>
        <v>52</v>
      </c>
      <c r="BH52" s="24">
        <f>H52*AO52</f>
        <v>0</v>
      </c>
      <c r="BI52" s="24">
        <f>H52*AP52</f>
        <v>0</v>
      </c>
      <c r="BJ52" s="24">
        <f>H52*I52</f>
        <v>0</v>
      </c>
      <c r="BK52" s="24" t="s">
        <v>187</v>
      </c>
      <c r="BL52" s="43">
        <v>767</v>
      </c>
    </row>
    <row r="53" spans="1:64" ht="12.75">
      <c r="A53" s="7" t="s">
        <v>19</v>
      </c>
      <c r="B53" s="15" t="s">
        <v>46</v>
      </c>
      <c r="C53" s="100" t="s">
        <v>103</v>
      </c>
      <c r="D53" s="101"/>
      <c r="E53" s="101"/>
      <c r="F53" s="101"/>
      <c r="G53" s="15" t="s">
        <v>142</v>
      </c>
      <c r="H53" s="26">
        <v>2</v>
      </c>
      <c r="I53" s="26">
        <v>0</v>
      </c>
      <c r="J53" s="26">
        <f>H53*AO53</f>
        <v>0</v>
      </c>
      <c r="K53" s="26">
        <f>H53*AP53</f>
        <v>0</v>
      </c>
      <c r="L53" s="26">
        <f>H53*I53</f>
        <v>0</v>
      </c>
      <c r="M53" s="39"/>
      <c r="N53" s="5"/>
      <c r="Z53" s="43">
        <f>IF(AQ53="5",BJ53,0)</f>
        <v>0</v>
      </c>
      <c r="AB53" s="43">
        <f>IF(AQ53="1",BH53,0)</f>
        <v>0</v>
      </c>
      <c r="AC53" s="43">
        <f>IF(AQ53="1",BI53,0)</f>
        <v>0</v>
      </c>
      <c r="AD53" s="43">
        <f>IF(AQ53="7",BH53,0)</f>
        <v>0</v>
      </c>
      <c r="AE53" s="43">
        <f>IF(AQ53="7",BI53,0)</f>
        <v>0</v>
      </c>
      <c r="AF53" s="43">
        <f>IF(AQ53="2",BH53,0)</f>
        <v>0</v>
      </c>
      <c r="AG53" s="43">
        <f>IF(AQ53="2",BI53,0)</f>
        <v>0</v>
      </c>
      <c r="AH53" s="43">
        <f>IF(AQ53="0",BJ53,0)</f>
        <v>0</v>
      </c>
      <c r="AI53" s="42"/>
      <c r="AJ53" s="26">
        <f>IF(AN53=0,L53,0)</f>
        <v>0</v>
      </c>
      <c r="AK53" s="26">
        <f>IF(AN53=15,L53,0)</f>
        <v>0</v>
      </c>
      <c r="AL53" s="26">
        <f>IF(AN53=21,L53,0)</f>
        <v>0</v>
      </c>
      <c r="AN53" s="43">
        <v>21</v>
      </c>
      <c r="AO53" s="43">
        <f>I53*1</f>
        <v>0</v>
      </c>
      <c r="AP53" s="43">
        <f>I53*(1-1)</f>
        <v>0</v>
      </c>
      <c r="AQ53" s="45" t="s">
        <v>13</v>
      </c>
      <c r="AV53" s="43">
        <f>AW53+AX53</f>
        <v>0</v>
      </c>
      <c r="AW53" s="43">
        <f>H53*AO53</f>
        <v>0</v>
      </c>
      <c r="AX53" s="43">
        <f>H53*AP53</f>
        <v>0</v>
      </c>
      <c r="AY53" s="46" t="s">
        <v>172</v>
      </c>
      <c r="AZ53" s="46" t="s">
        <v>180</v>
      </c>
      <c r="BA53" s="42" t="s">
        <v>182</v>
      </c>
      <c r="BC53" s="43">
        <f>AW53+AX53</f>
        <v>0</v>
      </c>
      <c r="BD53" s="43">
        <f>I53/(100-BE53)*100</f>
        <v>0</v>
      </c>
      <c r="BE53" s="43">
        <v>0</v>
      </c>
      <c r="BF53" s="43">
        <f>53</f>
        <v>53</v>
      </c>
      <c r="BH53" s="26">
        <f>H53*AO53</f>
        <v>0</v>
      </c>
      <c r="BI53" s="26">
        <f>H53*AP53</f>
        <v>0</v>
      </c>
      <c r="BJ53" s="26">
        <f>H53*I53</f>
        <v>0</v>
      </c>
      <c r="BK53" s="26" t="s">
        <v>188</v>
      </c>
      <c r="BL53" s="43">
        <v>767</v>
      </c>
    </row>
    <row r="54" spans="1:14" ht="12.75">
      <c r="A54" s="5"/>
      <c r="C54" s="17" t="s">
        <v>104</v>
      </c>
      <c r="F54" s="19"/>
      <c r="H54" s="25">
        <v>2</v>
      </c>
      <c r="M54" s="37"/>
      <c r="N54" s="5"/>
    </row>
    <row r="55" spans="1:64" ht="12.75">
      <c r="A55" s="7" t="s">
        <v>20</v>
      </c>
      <c r="B55" s="15" t="s">
        <v>47</v>
      </c>
      <c r="C55" s="100" t="s">
        <v>105</v>
      </c>
      <c r="D55" s="101"/>
      <c r="E55" s="101"/>
      <c r="F55" s="101"/>
      <c r="G55" s="15" t="s">
        <v>142</v>
      </c>
      <c r="H55" s="26">
        <v>1</v>
      </c>
      <c r="I55" s="26">
        <v>0</v>
      </c>
      <c r="J55" s="26">
        <f>H55*AO55</f>
        <v>0</v>
      </c>
      <c r="K55" s="26">
        <f>H55*AP55</f>
        <v>0</v>
      </c>
      <c r="L55" s="26">
        <f>H55*I55</f>
        <v>0</v>
      </c>
      <c r="M55" s="39"/>
      <c r="N55" s="5"/>
      <c r="Z55" s="43">
        <f>IF(AQ55="5",BJ55,0)</f>
        <v>0</v>
      </c>
      <c r="AB55" s="43">
        <f>IF(AQ55="1",BH55,0)</f>
        <v>0</v>
      </c>
      <c r="AC55" s="43">
        <f>IF(AQ55="1",BI55,0)</f>
        <v>0</v>
      </c>
      <c r="AD55" s="43">
        <f>IF(AQ55="7",BH55,0)</f>
        <v>0</v>
      </c>
      <c r="AE55" s="43">
        <f>IF(AQ55="7",BI55,0)</f>
        <v>0</v>
      </c>
      <c r="AF55" s="43">
        <f>IF(AQ55="2",BH55,0)</f>
        <v>0</v>
      </c>
      <c r="AG55" s="43">
        <f>IF(AQ55="2",BI55,0)</f>
        <v>0</v>
      </c>
      <c r="AH55" s="43">
        <f>IF(AQ55="0",BJ55,0)</f>
        <v>0</v>
      </c>
      <c r="AI55" s="42"/>
      <c r="AJ55" s="26">
        <f>IF(AN55=0,L55,0)</f>
        <v>0</v>
      </c>
      <c r="AK55" s="26">
        <f>IF(AN55=15,L55,0)</f>
        <v>0</v>
      </c>
      <c r="AL55" s="26">
        <f>IF(AN55=21,L55,0)</f>
        <v>0</v>
      </c>
      <c r="AN55" s="43">
        <v>21</v>
      </c>
      <c r="AO55" s="43">
        <f>I55*1</f>
        <v>0</v>
      </c>
      <c r="AP55" s="43">
        <f>I55*(1-1)</f>
        <v>0</v>
      </c>
      <c r="AQ55" s="45" t="s">
        <v>13</v>
      </c>
      <c r="AV55" s="43">
        <f>AW55+AX55</f>
        <v>0</v>
      </c>
      <c r="AW55" s="43">
        <f>H55*AO55</f>
        <v>0</v>
      </c>
      <c r="AX55" s="43">
        <f>H55*AP55</f>
        <v>0</v>
      </c>
      <c r="AY55" s="46" t="s">
        <v>172</v>
      </c>
      <c r="AZ55" s="46" t="s">
        <v>180</v>
      </c>
      <c r="BA55" s="42" t="s">
        <v>182</v>
      </c>
      <c r="BC55" s="43">
        <f>AW55+AX55</f>
        <v>0</v>
      </c>
      <c r="BD55" s="43">
        <f>I55/(100-BE55)*100</f>
        <v>0</v>
      </c>
      <c r="BE55" s="43">
        <v>0</v>
      </c>
      <c r="BF55" s="43">
        <f>55</f>
        <v>55</v>
      </c>
      <c r="BH55" s="26">
        <f>H55*AO55</f>
        <v>0</v>
      </c>
      <c r="BI55" s="26">
        <f>H55*AP55</f>
        <v>0</v>
      </c>
      <c r="BJ55" s="26">
        <f>H55*I55</f>
        <v>0</v>
      </c>
      <c r="BK55" s="26" t="s">
        <v>188</v>
      </c>
      <c r="BL55" s="43">
        <v>767</v>
      </c>
    </row>
    <row r="56" spans="1:14" ht="12.75">
      <c r="A56" s="5"/>
      <c r="C56" s="17" t="s">
        <v>106</v>
      </c>
      <c r="F56" s="19"/>
      <c r="H56" s="25">
        <v>1</v>
      </c>
      <c r="M56" s="37"/>
      <c r="N56" s="5"/>
    </row>
    <row r="57" spans="1:64" ht="12.75">
      <c r="A57" s="7" t="s">
        <v>21</v>
      </c>
      <c r="B57" s="15" t="s">
        <v>48</v>
      </c>
      <c r="C57" s="100" t="s">
        <v>107</v>
      </c>
      <c r="D57" s="101"/>
      <c r="E57" s="101"/>
      <c r="F57" s="101"/>
      <c r="G57" s="15" t="s">
        <v>142</v>
      </c>
      <c r="H57" s="26">
        <v>1</v>
      </c>
      <c r="I57" s="26">
        <v>0</v>
      </c>
      <c r="J57" s="26">
        <f>H57*AO57</f>
        <v>0</v>
      </c>
      <c r="K57" s="26">
        <f>H57*AP57</f>
        <v>0</v>
      </c>
      <c r="L57" s="26">
        <f>H57*I57</f>
        <v>0</v>
      </c>
      <c r="M57" s="39"/>
      <c r="N57" s="5"/>
      <c r="Z57" s="43">
        <f>IF(AQ57="5",BJ57,0)</f>
        <v>0</v>
      </c>
      <c r="AB57" s="43">
        <f>IF(AQ57="1",BH57,0)</f>
        <v>0</v>
      </c>
      <c r="AC57" s="43">
        <f>IF(AQ57="1",BI57,0)</f>
        <v>0</v>
      </c>
      <c r="AD57" s="43">
        <f>IF(AQ57="7",BH57,0)</f>
        <v>0</v>
      </c>
      <c r="AE57" s="43">
        <f>IF(AQ57="7",BI57,0)</f>
        <v>0</v>
      </c>
      <c r="AF57" s="43">
        <f>IF(AQ57="2",BH57,0)</f>
        <v>0</v>
      </c>
      <c r="AG57" s="43">
        <f>IF(AQ57="2",BI57,0)</f>
        <v>0</v>
      </c>
      <c r="AH57" s="43">
        <f>IF(AQ57="0",BJ57,0)</f>
        <v>0</v>
      </c>
      <c r="AI57" s="42"/>
      <c r="AJ57" s="26">
        <f>IF(AN57=0,L57,0)</f>
        <v>0</v>
      </c>
      <c r="AK57" s="26">
        <f>IF(AN57=15,L57,0)</f>
        <v>0</v>
      </c>
      <c r="AL57" s="26">
        <f>IF(AN57=21,L57,0)</f>
        <v>0</v>
      </c>
      <c r="AN57" s="43">
        <v>21</v>
      </c>
      <c r="AO57" s="43">
        <f>I57*1</f>
        <v>0</v>
      </c>
      <c r="AP57" s="43">
        <f>I57*(1-1)</f>
        <v>0</v>
      </c>
      <c r="AQ57" s="45" t="s">
        <v>13</v>
      </c>
      <c r="AV57" s="43">
        <f>AW57+AX57</f>
        <v>0</v>
      </c>
      <c r="AW57" s="43">
        <f>H57*AO57</f>
        <v>0</v>
      </c>
      <c r="AX57" s="43">
        <f>H57*AP57</f>
        <v>0</v>
      </c>
      <c r="AY57" s="46" t="s">
        <v>172</v>
      </c>
      <c r="AZ57" s="46" t="s">
        <v>180</v>
      </c>
      <c r="BA57" s="42" t="s">
        <v>182</v>
      </c>
      <c r="BC57" s="43">
        <f>AW57+AX57</f>
        <v>0</v>
      </c>
      <c r="BD57" s="43">
        <f>I57/(100-BE57)*100</f>
        <v>0</v>
      </c>
      <c r="BE57" s="43">
        <v>0</v>
      </c>
      <c r="BF57" s="43">
        <f>57</f>
        <v>57</v>
      </c>
      <c r="BH57" s="26">
        <f>H57*AO57</f>
        <v>0</v>
      </c>
      <c r="BI57" s="26">
        <f>H57*AP57</f>
        <v>0</v>
      </c>
      <c r="BJ57" s="26">
        <f>H57*I57</f>
        <v>0</v>
      </c>
      <c r="BK57" s="26" t="s">
        <v>188</v>
      </c>
      <c r="BL57" s="43">
        <v>767</v>
      </c>
    </row>
    <row r="58" spans="1:14" ht="12.75">
      <c r="A58" s="5"/>
      <c r="C58" s="17" t="s">
        <v>108</v>
      </c>
      <c r="F58" s="19"/>
      <c r="H58" s="25">
        <v>1</v>
      </c>
      <c r="M58" s="37"/>
      <c r="N58" s="5"/>
    </row>
    <row r="59" spans="1:47" ht="12.75">
      <c r="A59" s="6"/>
      <c r="B59" s="14" t="s">
        <v>49</v>
      </c>
      <c r="C59" s="84" t="s">
        <v>109</v>
      </c>
      <c r="D59" s="85"/>
      <c r="E59" s="85"/>
      <c r="F59" s="85"/>
      <c r="G59" s="22" t="s">
        <v>6</v>
      </c>
      <c r="H59" s="22" t="s">
        <v>6</v>
      </c>
      <c r="I59" s="22" t="s">
        <v>6</v>
      </c>
      <c r="J59" s="49">
        <f>SUM(J60:J60)</f>
        <v>0</v>
      </c>
      <c r="K59" s="49">
        <f>SUM(K60:K60)</f>
        <v>0</v>
      </c>
      <c r="L59" s="49">
        <f>SUM(L60:L60)</f>
        <v>0</v>
      </c>
      <c r="M59" s="38"/>
      <c r="N59" s="5"/>
      <c r="AI59" s="42"/>
      <c r="AS59" s="49">
        <f>SUM(AJ60:AJ60)</f>
        <v>0</v>
      </c>
      <c r="AT59" s="49">
        <f>SUM(AK60:AK60)</f>
        <v>0</v>
      </c>
      <c r="AU59" s="49">
        <f>SUM(AL60:AL60)</f>
        <v>0</v>
      </c>
    </row>
    <row r="60" spans="1:64" ht="12.75">
      <c r="A60" s="4" t="s">
        <v>22</v>
      </c>
      <c r="B60" s="13" t="s">
        <v>50</v>
      </c>
      <c r="C60" s="98" t="s">
        <v>110</v>
      </c>
      <c r="D60" s="99"/>
      <c r="E60" s="99"/>
      <c r="F60" s="99"/>
      <c r="G60" s="13" t="s">
        <v>143</v>
      </c>
      <c r="H60" s="24">
        <v>1.16</v>
      </c>
      <c r="I60" s="24">
        <v>0</v>
      </c>
      <c r="J60" s="24">
        <f>H60*AO60</f>
        <v>0</v>
      </c>
      <c r="K60" s="24">
        <f>H60*AP60</f>
        <v>0</v>
      </c>
      <c r="L60" s="24">
        <f>H60*I60</f>
        <v>0</v>
      </c>
      <c r="M60" s="36" t="s">
        <v>157</v>
      </c>
      <c r="N60" s="5"/>
      <c r="Z60" s="43">
        <f>IF(AQ60="5",BJ60,0)</f>
        <v>0</v>
      </c>
      <c r="AB60" s="43">
        <f>IF(AQ60="1",BH60,0)</f>
        <v>0</v>
      </c>
      <c r="AC60" s="43">
        <f>IF(AQ60="1",BI60,0)</f>
        <v>0</v>
      </c>
      <c r="AD60" s="43">
        <f>IF(AQ60="7",BH60,0)</f>
        <v>0</v>
      </c>
      <c r="AE60" s="43">
        <f>IF(AQ60="7",BI60,0)</f>
        <v>0</v>
      </c>
      <c r="AF60" s="43">
        <f>IF(AQ60="2",BH60,0)</f>
        <v>0</v>
      </c>
      <c r="AG60" s="43">
        <f>IF(AQ60="2",BI60,0)</f>
        <v>0</v>
      </c>
      <c r="AH60" s="43">
        <f>IF(AQ60="0",BJ60,0)</f>
        <v>0</v>
      </c>
      <c r="AI60" s="42"/>
      <c r="AJ60" s="24">
        <f>IF(AN60=0,L60,0)</f>
        <v>0</v>
      </c>
      <c r="AK60" s="24">
        <f>IF(AN60=15,L60,0)</f>
        <v>0</v>
      </c>
      <c r="AL60" s="24">
        <f>IF(AN60=21,L60,0)</f>
        <v>0</v>
      </c>
      <c r="AN60" s="43">
        <v>21</v>
      </c>
      <c r="AO60" s="43">
        <f>I60*0.535722306950784</f>
        <v>0</v>
      </c>
      <c r="AP60" s="43">
        <f>I60*(1-0.535722306950784)</f>
        <v>0</v>
      </c>
      <c r="AQ60" s="44" t="s">
        <v>7</v>
      </c>
      <c r="AV60" s="43">
        <f>AW60+AX60</f>
        <v>0</v>
      </c>
      <c r="AW60" s="43">
        <f>H60*AO60</f>
        <v>0</v>
      </c>
      <c r="AX60" s="43">
        <f>H60*AP60</f>
        <v>0</v>
      </c>
      <c r="AY60" s="46" t="s">
        <v>173</v>
      </c>
      <c r="AZ60" s="46" t="s">
        <v>181</v>
      </c>
      <c r="BA60" s="42" t="s">
        <v>182</v>
      </c>
      <c r="BC60" s="43">
        <f>AW60+AX60</f>
        <v>0</v>
      </c>
      <c r="BD60" s="43">
        <f>I60/(100-BE60)*100</f>
        <v>0</v>
      </c>
      <c r="BE60" s="43">
        <v>0</v>
      </c>
      <c r="BF60" s="43">
        <f>60</f>
        <v>60</v>
      </c>
      <c r="BH60" s="24">
        <f>H60*AO60</f>
        <v>0</v>
      </c>
      <c r="BI60" s="24">
        <f>H60*AP60</f>
        <v>0</v>
      </c>
      <c r="BJ60" s="24">
        <f>H60*I60</f>
        <v>0</v>
      </c>
      <c r="BK60" s="24" t="s">
        <v>187</v>
      </c>
      <c r="BL60" s="43">
        <v>90</v>
      </c>
    </row>
    <row r="61" spans="1:14" ht="12.75">
      <c r="A61" s="5"/>
      <c r="C61" s="17" t="s">
        <v>111</v>
      </c>
      <c r="F61" s="19"/>
      <c r="H61" s="25">
        <v>1.16</v>
      </c>
      <c r="M61" s="37"/>
      <c r="N61" s="5"/>
    </row>
    <row r="62" spans="1:47" ht="12.75">
      <c r="A62" s="6"/>
      <c r="B62" s="14" t="s">
        <v>51</v>
      </c>
      <c r="C62" s="84" t="s">
        <v>112</v>
      </c>
      <c r="D62" s="85"/>
      <c r="E62" s="85"/>
      <c r="F62" s="85"/>
      <c r="G62" s="22" t="s">
        <v>6</v>
      </c>
      <c r="H62" s="22" t="s">
        <v>6</v>
      </c>
      <c r="I62" s="22" t="s">
        <v>6</v>
      </c>
      <c r="J62" s="49">
        <f>SUM(J63:J63)</f>
        <v>0</v>
      </c>
      <c r="K62" s="49">
        <f>SUM(K63:K63)</f>
        <v>0</v>
      </c>
      <c r="L62" s="49">
        <f>SUM(L63:L63)</f>
        <v>0</v>
      </c>
      <c r="M62" s="38"/>
      <c r="N62" s="5"/>
      <c r="AI62" s="42"/>
      <c r="AS62" s="49">
        <f>SUM(AJ63:AJ63)</f>
        <v>0</v>
      </c>
      <c r="AT62" s="49">
        <f>SUM(AK63:AK63)</f>
        <v>0</v>
      </c>
      <c r="AU62" s="49">
        <f>SUM(AL63:AL63)</f>
        <v>0</v>
      </c>
    </row>
    <row r="63" spans="1:64" ht="12.75">
      <c r="A63" s="4" t="s">
        <v>23</v>
      </c>
      <c r="B63" s="66" t="s">
        <v>52</v>
      </c>
      <c r="C63" s="98" t="s">
        <v>113</v>
      </c>
      <c r="D63" s="99"/>
      <c r="E63" s="99"/>
      <c r="F63" s="99"/>
      <c r="G63" s="13" t="s">
        <v>138</v>
      </c>
      <c r="H63" s="24">
        <v>3.8625</v>
      </c>
      <c r="I63" s="24">
        <v>0</v>
      </c>
      <c r="J63" s="24">
        <f>H63*AO63</f>
        <v>0</v>
      </c>
      <c r="K63" s="24">
        <f>H63*AP63</f>
        <v>0</v>
      </c>
      <c r="L63" s="24">
        <f>H63*I63</f>
        <v>0</v>
      </c>
      <c r="M63" s="36" t="s">
        <v>157</v>
      </c>
      <c r="N63" s="5"/>
      <c r="Z63" s="43">
        <f>IF(AQ63="5",BJ63,0)</f>
        <v>0</v>
      </c>
      <c r="AB63" s="43">
        <f>IF(AQ63="1",BH63,0)</f>
        <v>0</v>
      </c>
      <c r="AC63" s="43">
        <f>IF(AQ63="1",BI63,0)</f>
        <v>0</v>
      </c>
      <c r="AD63" s="43">
        <f>IF(AQ63="7",BH63,0)</f>
        <v>0</v>
      </c>
      <c r="AE63" s="43">
        <f>IF(AQ63="7",BI63,0)</f>
        <v>0</v>
      </c>
      <c r="AF63" s="43">
        <f>IF(AQ63="2",BH63,0)</f>
        <v>0</v>
      </c>
      <c r="AG63" s="43">
        <f>IF(AQ63="2",BI63,0)</f>
        <v>0</v>
      </c>
      <c r="AH63" s="43">
        <f>IF(AQ63="0",BJ63,0)</f>
        <v>0</v>
      </c>
      <c r="AI63" s="42"/>
      <c r="AJ63" s="24">
        <f>IF(AN63=0,L63,0)</f>
        <v>0</v>
      </c>
      <c r="AK63" s="24">
        <f>IF(AN63=15,L63,0)</f>
        <v>0</v>
      </c>
      <c r="AL63" s="24">
        <f>IF(AN63=21,L63,0)</f>
        <v>0</v>
      </c>
      <c r="AN63" s="43">
        <v>21</v>
      </c>
      <c r="AO63" s="43">
        <f>I63*0</f>
        <v>0</v>
      </c>
      <c r="AP63" s="43">
        <f>I63*(1-0)</f>
        <v>0</v>
      </c>
      <c r="AQ63" s="44" t="s">
        <v>7</v>
      </c>
      <c r="AV63" s="43">
        <f>AW63+AX63</f>
        <v>0</v>
      </c>
      <c r="AW63" s="43">
        <f>H63*AO63</f>
        <v>0</v>
      </c>
      <c r="AX63" s="43">
        <f>H63*AP63</f>
        <v>0</v>
      </c>
      <c r="AY63" s="46" t="s">
        <v>174</v>
      </c>
      <c r="AZ63" s="46" t="s">
        <v>181</v>
      </c>
      <c r="BA63" s="42" t="s">
        <v>182</v>
      </c>
      <c r="BC63" s="43">
        <f>AW63+AX63</f>
        <v>0</v>
      </c>
      <c r="BD63" s="43">
        <f>I63/(100-BE63)*100</f>
        <v>0</v>
      </c>
      <c r="BE63" s="43">
        <v>0</v>
      </c>
      <c r="BF63" s="43">
        <f>63</f>
        <v>63</v>
      </c>
      <c r="BH63" s="24">
        <f>H63*AO63</f>
        <v>0</v>
      </c>
      <c r="BI63" s="24">
        <f>H63*AP63</f>
        <v>0</v>
      </c>
      <c r="BJ63" s="24">
        <f>H63*I63</f>
        <v>0</v>
      </c>
      <c r="BK63" s="24" t="s">
        <v>187</v>
      </c>
      <c r="BL63" s="43">
        <v>96</v>
      </c>
    </row>
    <row r="64" spans="1:14" ht="12.75">
      <c r="A64" s="5"/>
      <c r="C64" s="17" t="s">
        <v>114</v>
      </c>
      <c r="F64" s="19"/>
      <c r="H64" s="25">
        <v>2.592</v>
      </c>
      <c r="M64" s="37"/>
      <c r="N64" s="5"/>
    </row>
    <row r="65" spans="1:14" ht="12.75">
      <c r="A65" s="5"/>
      <c r="C65" s="17" t="s">
        <v>115</v>
      </c>
      <c r="F65" s="19"/>
      <c r="H65" s="25">
        <v>0.825</v>
      </c>
      <c r="M65" s="37"/>
      <c r="N65" s="5"/>
    </row>
    <row r="66" spans="1:14" ht="12.75">
      <c r="A66" s="5"/>
      <c r="C66" s="17" t="s">
        <v>116</v>
      </c>
      <c r="F66" s="19"/>
      <c r="H66" s="25">
        <v>0.108</v>
      </c>
      <c r="M66" s="37"/>
      <c r="N66" s="5"/>
    </row>
    <row r="67" spans="1:14" ht="12.75">
      <c r="A67" s="5"/>
      <c r="C67" s="17" t="s">
        <v>117</v>
      </c>
      <c r="F67" s="19"/>
      <c r="H67" s="25">
        <v>0.3375</v>
      </c>
      <c r="M67" s="37"/>
      <c r="N67" s="5"/>
    </row>
    <row r="68" spans="1:47" ht="12.75">
      <c r="A68" s="6"/>
      <c r="B68" s="14" t="s">
        <v>53</v>
      </c>
      <c r="C68" s="84" t="s">
        <v>118</v>
      </c>
      <c r="D68" s="85"/>
      <c r="E68" s="85"/>
      <c r="F68" s="85"/>
      <c r="G68" s="22" t="s">
        <v>6</v>
      </c>
      <c r="H68" s="22" t="s">
        <v>6</v>
      </c>
      <c r="I68" s="22" t="s">
        <v>6</v>
      </c>
      <c r="J68" s="49">
        <f>SUM(J69:J69)</f>
        <v>0</v>
      </c>
      <c r="K68" s="49">
        <f>SUM(K69:K69)</f>
        <v>0</v>
      </c>
      <c r="L68" s="49">
        <f>SUM(L69:L69)</f>
        <v>0</v>
      </c>
      <c r="M68" s="38"/>
      <c r="N68" s="5"/>
      <c r="AI68" s="42"/>
      <c r="AS68" s="49">
        <f>SUM(AJ69:AJ69)</f>
        <v>0</v>
      </c>
      <c r="AT68" s="49">
        <f>SUM(AK69:AK69)</f>
        <v>0</v>
      </c>
      <c r="AU68" s="49">
        <f>SUM(AL69:AL69)</f>
        <v>0</v>
      </c>
    </row>
    <row r="69" spans="1:64" ht="12.75">
      <c r="A69" s="4" t="s">
        <v>24</v>
      </c>
      <c r="B69" s="13" t="s">
        <v>54</v>
      </c>
      <c r="C69" s="98" t="s">
        <v>119</v>
      </c>
      <c r="D69" s="99"/>
      <c r="E69" s="99"/>
      <c r="F69" s="99"/>
      <c r="G69" s="13" t="s">
        <v>144</v>
      </c>
      <c r="H69" s="24">
        <v>32.47847</v>
      </c>
      <c r="I69" s="24">
        <v>0</v>
      </c>
      <c r="J69" s="24">
        <f>H69*AO69</f>
        <v>0</v>
      </c>
      <c r="K69" s="24">
        <f>H69*AP69</f>
        <v>0</v>
      </c>
      <c r="L69" s="24">
        <f>H69*I69</f>
        <v>0</v>
      </c>
      <c r="M69" s="36" t="s">
        <v>157</v>
      </c>
      <c r="N69" s="5"/>
      <c r="Z69" s="43">
        <f>IF(AQ69="5",BJ69,0)</f>
        <v>0</v>
      </c>
      <c r="AB69" s="43">
        <f>IF(AQ69="1",BH69,0)</f>
        <v>0</v>
      </c>
      <c r="AC69" s="43">
        <f>IF(AQ69="1",BI69,0)</f>
        <v>0</v>
      </c>
      <c r="AD69" s="43">
        <f>IF(AQ69="7",BH69,0)</f>
        <v>0</v>
      </c>
      <c r="AE69" s="43">
        <f>IF(AQ69="7",BI69,0)</f>
        <v>0</v>
      </c>
      <c r="AF69" s="43">
        <f>IF(AQ69="2",BH69,0)</f>
        <v>0</v>
      </c>
      <c r="AG69" s="43">
        <f>IF(AQ69="2",BI69,0)</f>
        <v>0</v>
      </c>
      <c r="AH69" s="43">
        <f>IF(AQ69="0",BJ69,0)</f>
        <v>0</v>
      </c>
      <c r="AI69" s="42"/>
      <c r="AJ69" s="24">
        <f>IF(AN69=0,L69,0)</f>
        <v>0</v>
      </c>
      <c r="AK69" s="24">
        <f>IF(AN69=15,L69,0)</f>
        <v>0</v>
      </c>
      <c r="AL69" s="24">
        <f>IF(AN69=21,L69,0)</f>
        <v>0</v>
      </c>
      <c r="AN69" s="43">
        <v>21</v>
      </c>
      <c r="AO69" s="43">
        <f>I69*0</f>
        <v>0</v>
      </c>
      <c r="AP69" s="43">
        <f>I69*(1-0)</f>
        <v>0</v>
      </c>
      <c r="AQ69" s="44" t="s">
        <v>11</v>
      </c>
      <c r="AV69" s="43">
        <f>AW69+AX69</f>
        <v>0</v>
      </c>
      <c r="AW69" s="43">
        <f>H69*AO69</f>
        <v>0</v>
      </c>
      <c r="AX69" s="43">
        <f>H69*AP69</f>
        <v>0</v>
      </c>
      <c r="AY69" s="46" t="s">
        <v>175</v>
      </c>
      <c r="AZ69" s="46" t="s">
        <v>181</v>
      </c>
      <c r="BA69" s="42" t="s">
        <v>182</v>
      </c>
      <c r="BC69" s="43">
        <f>AW69+AX69</f>
        <v>0</v>
      </c>
      <c r="BD69" s="43">
        <f>I69/(100-BE69)*100</f>
        <v>0</v>
      </c>
      <c r="BE69" s="43">
        <v>0</v>
      </c>
      <c r="BF69" s="43">
        <f>69</f>
        <v>69</v>
      </c>
      <c r="BH69" s="24">
        <f>H69*AO69</f>
        <v>0</v>
      </c>
      <c r="BI69" s="24">
        <f>H69*AP69</f>
        <v>0</v>
      </c>
      <c r="BJ69" s="24">
        <f>H69*I69</f>
        <v>0</v>
      </c>
      <c r="BK69" s="24" t="s">
        <v>187</v>
      </c>
      <c r="BL69" s="43" t="s">
        <v>53</v>
      </c>
    </row>
    <row r="70" spans="1:14" ht="12.75">
      <c r="A70" s="5"/>
      <c r="C70" s="17" t="s">
        <v>120</v>
      </c>
      <c r="F70" s="19"/>
      <c r="H70" s="25">
        <v>32.47847</v>
      </c>
      <c r="M70" s="37"/>
      <c r="N70" s="5"/>
    </row>
    <row r="71" spans="1:47" ht="12.75">
      <c r="A71" s="6"/>
      <c r="B71" s="14" t="s">
        <v>55</v>
      </c>
      <c r="C71" s="84" t="s">
        <v>121</v>
      </c>
      <c r="D71" s="85"/>
      <c r="E71" s="85"/>
      <c r="F71" s="85"/>
      <c r="G71" s="22" t="s">
        <v>6</v>
      </c>
      <c r="H71" s="22" t="s">
        <v>6</v>
      </c>
      <c r="I71" s="22" t="s">
        <v>6</v>
      </c>
      <c r="J71" s="49">
        <f>SUM(J72:J78)</f>
        <v>0</v>
      </c>
      <c r="K71" s="49">
        <f>SUM(K72:K78)</f>
        <v>0</v>
      </c>
      <c r="L71" s="49">
        <f>SUM(L72:L78)</f>
        <v>0</v>
      </c>
      <c r="M71" s="38"/>
      <c r="N71" s="5"/>
      <c r="AI71" s="42"/>
      <c r="AS71" s="49">
        <f>SUM(AJ72:AJ78)</f>
        <v>0</v>
      </c>
      <c r="AT71" s="49">
        <f>SUM(AK72:AK78)</f>
        <v>0</v>
      </c>
      <c r="AU71" s="49">
        <f>SUM(AL72:AL78)</f>
        <v>0</v>
      </c>
    </row>
    <row r="72" spans="1:64" ht="12.75">
      <c r="A72" s="4" t="s">
        <v>25</v>
      </c>
      <c r="B72" s="66" t="s">
        <v>56</v>
      </c>
      <c r="C72" s="98" t="s">
        <v>122</v>
      </c>
      <c r="D72" s="99"/>
      <c r="E72" s="99"/>
      <c r="F72" s="99"/>
      <c r="G72" s="13" t="s">
        <v>144</v>
      </c>
      <c r="H72" s="24">
        <v>8.4975</v>
      </c>
      <c r="I72" s="24">
        <v>0</v>
      </c>
      <c r="J72" s="24">
        <f>H72*AO72</f>
        <v>0</v>
      </c>
      <c r="K72" s="24">
        <f>H72*AP72</f>
        <v>0</v>
      </c>
      <c r="L72" s="24">
        <f>H72*I72</f>
        <v>0</v>
      </c>
      <c r="M72" s="36" t="s">
        <v>157</v>
      </c>
      <c r="N72" s="5"/>
      <c r="Z72" s="43">
        <f>IF(AQ72="5",BJ72,0)</f>
        <v>0</v>
      </c>
      <c r="AB72" s="43">
        <f>IF(AQ72="1",BH72,0)</f>
        <v>0</v>
      </c>
      <c r="AC72" s="43">
        <f>IF(AQ72="1",BI72,0)</f>
        <v>0</v>
      </c>
      <c r="AD72" s="43">
        <f>IF(AQ72="7",BH72,0)</f>
        <v>0</v>
      </c>
      <c r="AE72" s="43">
        <f>IF(AQ72="7",BI72,0)</f>
        <v>0</v>
      </c>
      <c r="AF72" s="43">
        <f>IF(AQ72="2",BH72,0)</f>
        <v>0</v>
      </c>
      <c r="AG72" s="43">
        <f>IF(AQ72="2",BI72,0)</f>
        <v>0</v>
      </c>
      <c r="AH72" s="43">
        <f>IF(AQ72="0",BJ72,0)</f>
        <v>0</v>
      </c>
      <c r="AI72" s="42"/>
      <c r="AJ72" s="24">
        <f>IF(AN72=0,L72,0)</f>
        <v>0</v>
      </c>
      <c r="AK72" s="24">
        <f>IF(AN72=15,L72,0)</f>
        <v>0</v>
      </c>
      <c r="AL72" s="24">
        <f>IF(AN72=21,L72,0)</f>
        <v>0</v>
      </c>
      <c r="AN72" s="43">
        <v>21</v>
      </c>
      <c r="AO72" s="43">
        <f>I72*0</f>
        <v>0</v>
      </c>
      <c r="AP72" s="43">
        <f>I72*(1-0)</f>
        <v>0</v>
      </c>
      <c r="AQ72" s="44" t="s">
        <v>11</v>
      </c>
      <c r="AV72" s="43">
        <f>AW72+AX72</f>
        <v>0</v>
      </c>
      <c r="AW72" s="43">
        <f>H72*AO72</f>
        <v>0</v>
      </c>
      <c r="AX72" s="43">
        <f>H72*AP72</f>
        <v>0</v>
      </c>
      <c r="AY72" s="46" t="s">
        <v>176</v>
      </c>
      <c r="AZ72" s="46" t="s">
        <v>181</v>
      </c>
      <c r="BA72" s="42" t="s">
        <v>182</v>
      </c>
      <c r="BC72" s="43">
        <f>AW72+AX72</f>
        <v>0</v>
      </c>
      <c r="BD72" s="43">
        <f>I72/(100-BE72)*100</f>
        <v>0</v>
      </c>
      <c r="BE72" s="43">
        <v>0</v>
      </c>
      <c r="BF72" s="43">
        <f>72</f>
        <v>72</v>
      </c>
      <c r="BH72" s="24">
        <f>H72*AO72</f>
        <v>0</v>
      </c>
      <c r="BI72" s="24">
        <f>H72*AP72</f>
        <v>0</v>
      </c>
      <c r="BJ72" s="24">
        <f>H72*I72</f>
        <v>0</v>
      </c>
      <c r="BK72" s="24" t="s">
        <v>187</v>
      </c>
      <c r="BL72" s="43" t="s">
        <v>55</v>
      </c>
    </row>
    <row r="73" spans="1:14" ht="12.75">
      <c r="A73" s="5"/>
      <c r="B73" s="130"/>
      <c r="C73" s="17" t="s">
        <v>123</v>
      </c>
      <c r="D73" s="130"/>
      <c r="E73" s="130"/>
      <c r="F73" s="19"/>
      <c r="H73" s="25">
        <v>8.4975</v>
      </c>
      <c r="M73" s="37"/>
      <c r="N73" s="5"/>
    </row>
    <row r="74" spans="1:64" ht="12.75">
      <c r="A74" s="4" t="s">
        <v>26</v>
      </c>
      <c r="B74" s="66" t="s">
        <v>57</v>
      </c>
      <c r="C74" s="98" t="s">
        <v>124</v>
      </c>
      <c r="D74" s="99"/>
      <c r="E74" s="99"/>
      <c r="F74" s="99"/>
      <c r="G74" s="13" t="s">
        <v>144</v>
      </c>
      <c r="H74" s="24">
        <v>8.4975</v>
      </c>
      <c r="I74" s="24">
        <v>0</v>
      </c>
      <c r="J74" s="24">
        <f>H74*AO74</f>
        <v>0</v>
      </c>
      <c r="K74" s="24">
        <f>H74*AP74</f>
        <v>0</v>
      </c>
      <c r="L74" s="24">
        <f>H74*I74</f>
        <v>0</v>
      </c>
      <c r="M74" s="36" t="s">
        <v>157</v>
      </c>
      <c r="N74" s="5"/>
      <c r="Z74" s="43">
        <f>IF(AQ74="5",BJ74,0)</f>
        <v>0</v>
      </c>
      <c r="AB74" s="43">
        <f>IF(AQ74="1",BH74,0)</f>
        <v>0</v>
      </c>
      <c r="AC74" s="43">
        <f>IF(AQ74="1",BI74,0)</f>
        <v>0</v>
      </c>
      <c r="AD74" s="43">
        <f>IF(AQ74="7",BH74,0)</f>
        <v>0</v>
      </c>
      <c r="AE74" s="43">
        <f>IF(AQ74="7",BI74,0)</f>
        <v>0</v>
      </c>
      <c r="AF74" s="43">
        <f>IF(AQ74="2",BH74,0)</f>
        <v>0</v>
      </c>
      <c r="AG74" s="43">
        <f>IF(AQ74="2",BI74,0)</f>
        <v>0</v>
      </c>
      <c r="AH74" s="43">
        <f>IF(AQ74="0",BJ74,0)</f>
        <v>0</v>
      </c>
      <c r="AI74" s="42"/>
      <c r="AJ74" s="24">
        <f>IF(AN74=0,L74,0)</f>
        <v>0</v>
      </c>
      <c r="AK74" s="24">
        <f>IF(AN74=15,L74,0)</f>
        <v>0</v>
      </c>
      <c r="AL74" s="24">
        <f>IF(AN74=21,L74,0)</f>
        <v>0</v>
      </c>
      <c r="AN74" s="43">
        <v>21</v>
      </c>
      <c r="AO74" s="43">
        <f>I74*0</f>
        <v>0</v>
      </c>
      <c r="AP74" s="43">
        <f>I74*(1-0)</f>
        <v>0</v>
      </c>
      <c r="AQ74" s="44" t="s">
        <v>11</v>
      </c>
      <c r="AV74" s="43">
        <f>AW74+AX74</f>
        <v>0</v>
      </c>
      <c r="AW74" s="43">
        <f>H74*AO74</f>
        <v>0</v>
      </c>
      <c r="AX74" s="43">
        <f>H74*AP74</f>
        <v>0</v>
      </c>
      <c r="AY74" s="46" t="s">
        <v>176</v>
      </c>
      <c r="AZ74" s="46" t="s">
        <v>181</v>
      </c>
      <c r="BA74" s="42" t="s">
        <v>182</v>
      </c>
      <c r="BC74" s="43">
        <f>AW74+AX74</f>
        <v>0</v>
      </c>
      <c r="BD74" s="43">
        <f>I74/(100-BE74)*100</f>
        <v>0</v>
      </c>
      <c r="BE74" s="43">
        <v>0</v>
      </c>
      <c r="BF74" s="43">
        <f>74</f>
        <v>74</v>
      </c>
      <c r="BH74" s="24">
        <f>H74*AO74</f>
        <v>0</v>
      </c>
      <c r="BI74" s="24">
        <f>H74*AP74</f>
        <v>0</v>
      </c>
      <c r="BJ74" s="24">
        <f>H74*I74</f>
        <v>0</v>
      </c>
      <c r="BK74" s="24" t="s">
        <v>187</v>
      </c>
      <c r="BL74" s="43" t="s">
        <v>55</v>
      </c>
    </row>
    <row r="75" spans="1:14" ht="12.75">
      <c r="A75" s="5"/>
      <c r="B75" s="130"/>
      <c r="C75" s="17" t="s">
        <v>123</v>
      </c>
      <c r="D75" s="130"/>
      <c r="E75" s="130"/>
      <c r="F75" s="19"/>
      <c r="H75" s="25">
        <v>8.4975</v>
      </c>
      <c r="M75" s="37"/>
      <c r="N75" s="5"/>
    </row>
    <row r="76" spans="1:64" ht="12.75">
      <c r="A76" s="4" t="s">
        <v>27</v>
      </c>
      <c r="B76" s="66" t="s">
        <v>58</v>
      </c>
      <c r="C76" s="98" t="s">
        <v>125</v>
      </c>
      <c r="D76" s="99"/>
      <c r="E76" s="99"/>
      <c r="F76" s="99"/>
      <c r="G76" s="13" t="s">
        <v>144</v>
      </c>
      <c r="H76" s="24">
        <v>161.4525</v>
      </c>
      <c r="I76" s="24">
        <v>0</v>
      </c>
      <c r="J76" s="24">
        <f>H76*AO76</f>
        <v>0</v>
      </c>
      <c r="K76" s="24">
        <f>H76*AP76</f>
        <v>0</v>
      </c>
      <c r="L76" s="24">
        <f>H76*I76</f>
        <v>0</v>
      </c>
      <c r="M76" s="36" t="s">
        <v>157</v>
      </c>
      <c r="N76" s="5"/>
      <c r="Z76" s="43">
        <f>IF(AQ76="5",BJ76,0)</f>
        <v>0</v>
      </c>
      <c r="AB76" s="43">
        <f>IF(AQ76="1",BH76,0)</f>
        <v>0</v>
      </c>
      <c r="AC76" s="43">
        <f>IF(AQ76="1",BI76,0)</f>
        <v>0</v>
      </c>
      <c r="AD76" s="43">
        <f>IF(AQ76="7",BH76,0)</f>
        <v>0</v>
      </c>
      <c r="AE76" s="43">
        <f>IF(AQ76="7",BI76,0)</f>
        <v>0</v>
      </c>
      <c r="AF76" s="43">
        <f>IF(AQ76="2",BH76,0)</f>
        <v>0</v>
      </c>
      <c r="AG76" s="43">
        <f>IF(AQ76="2",BI76,0)</f>
        <v>0</v>
      </c>
      <c r="AH76" s="43">
        <f>IF(AQ76="0",BJ76,0)</f>
        <v>0</v>
      </c>
      <c r="AI76" s="42"/>
      <c r="AJ76" s="24">
        <f>IF(AN76=0,L76,0)</f>
        <v>0</v>
      </c>
      <c r="AK76" s="24">
        <f>IF(AN76=15,L76,0)</f>
        <v>0</v>
      </c>
      <c r="AL76" s="24">
        <f>IF(AN76=21,L76,0)</f>
        <v>0</v>
      </c>
      <c r="AN76" s="43">
        <v>21</v>
      </c>
      <c r="AO76" s="43">
        <f>I76*0</f>
        <v>0</v>
      </c>
      <c r="AP76" s="43">
        <f>I76*(1-0)</f>
        <v>0</v>
      </c>
      <c r="AQ76" s="44" t="s">
        <v>11</v>
      </c>
      <c r="AV76" s="43">
        <f>AW76+AX76</f>
        <v>0</v>
      </c>
      <c r="AW76" s="43">
        <f>H76*AO76</f>
        <v>0</v>
      </c>
      <c r="AX76" s="43">
        <f>H76*AP76</f>
        <v>0</v>
      </c>
      <c r="AY76" s="46" t="s">
        <v>176</v>
      </c>
      <c r="AZ76" s="46" t="s">
        <v>181</v>
      </c>
      <c r="BA76" s="42" t="s">
        <v>182</v>
      </c>
      <c r="BC76" s="43">
        <f>AW76+AX76</f>
        <v>0</v>
      </c>
      <c r="BD76" s="43">
        <f>I76/(100-BE76)*100</f>
        <v>0</v>
      </c>
      <c r="BE76" s="43">
        <v>0</v>
      </c>
      <c r="BF76" s="43">
        <f>76</f>
        <v>76</v>
      </c>
      <c r="BH76" s="24">
        <f>H76*AO76</f>
        <v>0</v>
      </c>
      <c r="BI76" s="24">
        <f>H76*AP76</f>
        <v>0</v>
      </c>
      <c r="BJ76" s="24">
        <f>H76*I76</f>
        <v>0</v>
      </c>
      <c r="BK76" s="24" t="s">
        <v>187</v>
      </c>
      <c r="BL76" s="43" t="s">
        <v>55</v>
      </c>
    </row>
    <row r="77" spans="1:14" ht="12.75">
      <c r="A77" s="5"/>
      <c r="B77" s="130"/>
      <c r="C77" s="17" t="s">
        <v>126</v>
      </c>
      <c r="D77" s="130"/>
      <c r="E77" s="130"/>
      <c r="F77" s="19"/>
      <c r="H77" s="25">
        <v>161.4525</v>
      </c>
      <c r="M77" s="37"/>
      <c r="N77" s="5"/>
    </row>
    <row r="78" spans="1:64" ht="12.75">
      <c r="A78" s="4" t="s">
        <v>28</v>
      </c>
      <c r="B78" s="66" t="s">
        <v>59</v>
      </c>
      <c r="C78" s="98" t="s">
        <v>127</v>
      </c>
      <c r="D78" s="99"/>
      <c r="E78" s="99"/>
      <c r="F78" s="99"/>
      <c r="G78" s="13" t="s">
        <v>144</v>
      </c>
      <c r="H78" s="24">
        <v>8.4975</v>
      </c>
      <c r="I78" s="24">
        <v>0</v>
      </c>
      <c r="J78" s="24">
        <f>H78*AO78</f>
        <v>0</v>
      </c>
      <c r="K78" s="24">
        <f>H78*AP78</f>
        <v>0</v>
      </c>
      <c r="L78" s="24">
        <f>H78*I78</f>
        <v>0</v>
      </c>
      <c r="M78" s="36" t="s">
        <v>157</v>
      </c>
      <c r="N78" s="5"/>
      <c r="Z78" s="43">
        <f>IF(AQ78="5",BJ78,0)</f>
        <v>0</v>
      </c>
      <c r="AB78" s="43">
        <f>IF(AQ78="1",BH78,0)</f>
        <v>0</v>
      </c>
      <c r="AC78" s="43">
        <f>IF(AQ78="1",BI78,0)</f>
        <v>0</v>
      </c>
      <c r="AD78" s="43">
        <f>IF(AQ78="7",BH78,0)</f>
        <v>0</v>
      </c>
      <c r="AE78" s="43">
        <f>IF(AQ78="7",BI78,0)</f>
        <v>0</v>
      </c>
      <c r="AF78" s="43">
        <f>IF(AQ78="2",BH78,0)</f>
        <v>0</v>
      </c>
      <c r="AG78" s="43">
        <f>IF(AQ78="2",BI78,0)</f>
        <v>0</v>
      </c>
      <c r="AH78" s="43">
        <f>IF(AQ78="0",BJ78,0)</f>
        <v>0</v>
      </c>
      <c r="AI78" s="42"/>
      <c r="AJ78" s="24">
        <f>IF(AN78=0,L78,0)</f>
        <v>0</v>
      </c>
      <c r="AK78" s="24">
        <f>IF(AN78=15,L78,0)</f>
        <v>0</v>
      </c>
      <c r="AL78" s="24">
        <f>IF(AN78=21,L78,0)</f>
        <v>0</v>
      </c>
      <c r="AN78" s="43">
        <v>21</v>
      </c>
      <c r="AO78" s="43">
        <f>I78*0</f>
        <v>0</v>
      </c>
      <c r="AP78" s="43">
        <f>I78*(1-0)</f>
        <v>0</v>
      </c>
      <c r="AQ78" s="44" t="s">
        <v>11</v>
      </c>
      <c r="AV78" s="43">
        <f>AW78+AX78</f>
        <v>0</v>
      </c>
      <c r="AW78" s="43">
        <f>H78*AO78</f>
        <v>0</v>
      </c>
      <c r="AX78" s="43">
        <f>H78*AP78</f>
        <v>0</v>
      </c>
      <c r="AY78" s="46" t="s">
        <v>176</v>
      </c>
      <c r="AZ78" s="46" t="s">
        <v>181</v>
      </c>
      <c r="BA78" s="42" t="s">
        <v>182</v>
      </c>
      <c r="BC78" s="43">
        <f>AW78+AX78</f>
        <v>0</v>
      </c>
      <c r="BD78" s="43">
        <f>I78/(100-BE78)*100</f>
        <v>0</v>
      </c>
      <c r="BE78" s="43">
        <v>0</v>
      </c>
      <c r="BF78" s="43">
        <f>78</f>
        <v>78</v>
      </c>
      <c r="BH78" s="24">
        <f>H78*AO78</f>
        <v>0</v>
      </c>
      <c r="BI78" s="24">
        <f>H78*AP78</f>
        <v>0</v>
      </c>
      <c r="BJ78" s="24">
        <f>H78*I78</f>
        <v>0</v>
      </c>
      <c r="BK78" s="24" t="s">
        <v>187</v>
      </c>
      <c r="BL78" s="43" t="s">
        <v>55</v>
      </c>
    </row>
    <row r="79" spans="1:14" ht="12.75">
      <c r="A79" s="8"/>
      <c r="B79" s="16"/>
      <c r="C79" s="18" t="s">
        <v>123</v>
      </c>
      <c r="D79" s="16"/>
      <c r="E79" s="16"/>
      <c r="F79" s="20"/>
      <c r="G79" s="16"/>
      <c r="H79" s="27">
        <v>8.4975</v>
      </c>
      <c r="I79" s="16"/>
      <c r="J79" s="16"/>
      <c r="K79" s="16"/>
      <c r="L79" s="16"/>
      <c r="M79" s="40"/>
      <c r="N79" s="5"/>
    </row>
    <row r="80" spans="1:13" ht="12.75">
      <c r="A80" s="9"/>
      <c r="B80" s="9"/>
      <c r="C80" s="9"/>
      <c r="D80" s="9"/>
      <c r="E80" s="9"/>
      <c r="F80" s="9"/>
      <c r="G80" s="9"/>
      <c r="H80" s="9"/>
      <c r="I80" s="9"/>
      <c r="J80" s="102" t="s">
        <v>152</v>
      </c>
      <c r="K80" s="103"/>
      <c r="L80" s="50">
        <f>L12+L18+L25+L30+L41+L51+L59+L62+L68+L71</f>
        <v>0</v>
      </c>
      <c r="M80" s="9"/>
    </row>
  </sheetData>
  <mergeCells count="61">
    <mergeCell ref="C71:F71"/>
    <mergeCell ref="C72:F72"/>
    <mergeCell ref="C74:F74"/>
    <mergeCell ref="C76:F76"/>
    <mergeCell ref="C78:F78"/>
    <mergeCell ref="J80:K80"/>
    <mergeCell ref="C69:F69"/>
    <mergeCell ref="C47:F47"/>
    <mergeCell ref="C51:F51"/>
    <mergeCell ref="C52:F52"/>
    <mergeCell ref="C53:F53"/>
    <mergeCell ref="C55:F55"/>
    <mergeCell ref="C57:F57"/>
    <mergeCell ref="C59:F59"/>
    <mergeCell ref="C60:F60"/>
    <mergeCell ref="C62:F62"/>
    <mergeCell ref="C63:F63"/>
    <mergeCell ref="C68:F68"/>
    <mergeCell ref="J10:L10"/>
    <mergeCell ref="C11:F11"/>
    <mergeCell ref="C12:F12"/>
    <mergeCell ref="C13:F13"/>
    <mergeCell ref="C42:F42"/>
    <mergeCell ref="C19:F19"/>
    <mergeCell ref="C21:F21"/>
    <mergeCell ref="C23:F23"/>
    <mergeCell ref="C25:F25"/>
    <mergeCell ref="C26:F26"/>
    <mergeCell ref="C28:F28"/>
    <mergeCell ref="C30:F30"/>
    <mergeCell ref="C31:F31"/>
    <mergeCell ref="C36:F36"/>
    <mergeCell ref="C39:F39"/>
    <mergeCell ref="C41:F41"/>
    <mergeCell ref="C18:F18"/>
    <mergeCell ref="A8:B9"/>
    <mergeCell ref="C8:C9"/>
    <mergeCell ref="D8:E9"/>
    <mergeCell ref="F8:F9"/>
    <mergeCell ref="C10:F10"/>
    <mergeCell ref="G8:H9"/>
    <mergeCell ref="I8:M9"/>
    <mergeCell ref="A6:B7"/>
    <mergeCell ref="C6:C7"/>
    <mergeCell ref="D6:E7"/>
    <mergeCell ref="F6:F7"/>
    <mergeCell ref="G6:H7"/>
    <mergeCell ref="I6:M7"/>
    <mergeCell ref="I4:M5"/>
    <mergeCell ref="A1:M1"/>
    <mergeCell ref="A2:B3"/>
    <mergeCell ref="C2:C3"/>
    <mergeCell ref="D2:E3"/>
    <mergeCell ref="F2:F3"/>
    <mergeCell ref="G2:H3"/>
    <mergeCell ref="I2:M3"/>
    <mergeCell ref="A4:B5"/>
    <mergeCell ref="C4:C5"/>
    <mergeCell ref="D4:E5"/>
    <mergeCell ref="F4:F5"/>
    <mergeCell ref="G4:H5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workbookViewId="0" topLeftCell="A1"/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65"/>
      <c r="B1" s="16"/>
      <c r="C1" s="104" t="s">
        <v>205</v>
      </c>
      <c r="D1" s="71"/>
      <c r="E1" s="71"/>
      <c r="F1" s="71"/>
      <c r="G1" s="71"/>
      <c r="H1" s="71"/>
      <c r="I1" s="71"/>
    </row>
    <row r="2" spans="1:10" ht="12.75">
      <c r="A2" s="72" t="s">
        <v>1</v>
      </c>
      <c r="B2" s="73"/>
      <c r="C2" s="75" t="str">
        <f>'Stavební rozpočet'!C2</f>
        <v>AREÁL HAMR - SBĚRNÝ DVŮR - dokumentace pro provedení stavby</v>
      </c>
      <c r="D2" s="103"/>
      <c r="E2" s="78" t="s">
        <v>133</v>
      </c>
      <c r="F2" s="78" t="str">
        <f>'Stavební rozpočet'!I2</f>
        <v> </v>
      </c>
      <c r="G2" s="73"/>
      <c r="H2" s="78" t="s">
        <v>230</v>
      </c>
      <c r="I2" s="105"/>
      <c r="J2" s="5"/>
    </row>
    <row r="3" spans="1:10" ht="25.7" customHeight="1">
      <c r="A3" s="74"/>
      <c r="B3" s="68"/>
      <c r="C3" s="76"/>
      <c r="D3" s="76"/>
      <c r="E3" s="68"/>
      <c r="F3" s="68"/>
      <c r="G3" s="68"/>
      <c r="H3" s="68"/>
      <c r="I3" s="69"/>
      <c r="J3" s="5"/>
    </row>
    <row r="4" spans="1:10" ht="12.75">
      <c r="A4" s="80" t="s">
        <v>2</v>
      </c>
      <c r="B4" s="68"/>
      <c r="C4" s="81" t="str">
        <f>'Stavební rozpočet'!C4</f>
        <v>SO 08 OPLOCENÍ</v>
      </c>
      <c r="D4" s="68"/>
      <c r="E4" s="81" t="s">
        <v>134</v>
      </c>
      <c r="F4" s="81" t="str">
        <f>'Stavební rozpočet'!I4</f>
        <v> </v>
      </c>
      <c r="G4" s="68"/>
      <c r="H4" s="81" t="s">
        <v>230</v>
      </c>
      <c r="I4" s="106"/>
      <c r="J4" s="5"/>
    </row>
    <row r="5" spans="1:10" ht="12.75">
      <c r="A5" s="74"/>
      <c r="B5" s="68"/>
      <c r="C5" s="68"/>
      <c r="D5" s="68"/>
      <c r="E5" s="68"/>
      <c r="F5" s="68"/>
      <c r="G5" s="68"/>
      <c r="H5" s="68"/>
      <c r="I5" s="69"/>
      <c r="J5" s="5"/>
    </row>
    <row r="6" spans="1:10" ht="12.75">
      <c r="A6" s="80" t="s">
        <v>3</v>
      </c>
      <c r="B6" s="68"/>
      <c r="C6" s="81" t="str">
        <f>'Stavební rozpočet'!C6</f>
        <v>Hamr</v>
      </c>
      <c r="D6" s="68"/>
      <c r="E6" s="81" t="s">
        <v>135</v>
      </c>
      <c r="F6" s="81" t="str">
        <f>'Stavební rozpočet'!I6</f>
        <v> </v>
      </c>
      <c r="G6" s="68"/>
      <c r="H6" s="81" t="s">
        <v>230</v>
      </c>
      <c r="I6" s="106"/>
      <c r="J6" s="5"/>
    </row>
    <row r="7" spans="1:10" ht="12.75">
      <c r="A7" s="74"/>
      <c r="B7" s="68"/>
      <c r="C7" s="68"/>
      <c r="D7" s="68"/>
      <c r="E7" s="68"/>
      <c r="F7" s="68"/>
      <c r="G7" s="68"/>
      <c r="H7" s="68"/>
      <c r="I7" s="69"/>
      <c r="J7" s="5"/>
    </row>
    <row r="8" spans="1:10" ht="12.75">
      <c r="A8" s="80" t="s">
        <v>129</v>
      </c>
      <c r="B8" s="68"/>
      <c r="C8" s="81" t="str">
        <f>'Stavební rozpočet'!F4</f>
        <v xml:space="preserve"> </v>
      </c>
      <c r="D8" s="68"/>
      <c r="E8" s="81" t="s">
        <v>130</v>
      </c>
      <c r="F8" s="81" t="str">
        <f>'Stavební rozpočet'!F6</f>
        <v xml:space="preserve"> </v>
      </c>
      <c r="G8" s="68"/>
      <c r="H8" s="67" t="s">
        <v>231</v>
      </c>
      <c r="I8" s="106" t="s">
        <v>28</v>
      </c>
      <c r="J8" s="5"/>
    </row>
    <row r="9" spans="1:10" ht="12.75">
      <c r="A9" s="74"/>
      <c r="B9" s="68"/>
      <c r="C9" s="68"/>
      <c r="D9" s="68"/>
      <c r="E9" s="68"/>
      <c r="F9" s="68"/>
      <c r="G9" s="68"/>
      <c r="H9" s="68"/>
      <c r="I9" s="69"/>
      <c r="J9" s="5"/>
    </row>
    <row r="10" spans="1:10" ht="12.75">
      <c r="A10" s="80" t="s">
        <v>4</v>
      </c>
      <c r="B10" s="68"/>
      <c r="C10" s="81" t="str">
        <f>'Stavební rozpočet'!C8</f>
        <v xml:space="preserve"> </v>
      </c>
      <c r="D10" s="68"/>
      <c r="E10" s="81" t="s">
        <v>136</v>
      </c>
      <c r="F10" s="81" t="str">
        <f>'Stavební rozpočet'!I8</f>
        <v>Kamila Možná, 604833924</v>
      </c>
      <c r="G10" s="68"/>
      <c r="H10" s="67" t="s">
        <v>232</v>
      </c>
      <c r="I10" s="107" t="str">
        <f>'Stavební rozpočet'!F8</f>
        <v>19.09.2022</v>
      </c>
      <c r="J10" s="5"/>
    </row>
    <row r="11" spans="1:10" ht="12.75">
      <c r="A11" s="109"/>
      <c r="B11" s="110"/>
      <c r="C11" s="110"/>
      <c r="D11" s="110"/>
      <c r="E11" s="110"/>
      <c r="F11" s="110"/>
      <c r="G11" s="110"/>
      <c r="H11" s="110"/>
      <c r="I11" s="108"/>
      <c r="J11" s="5"/>
    </row>
    <row r="12" spans="1:9" ht="23.45" customHeight="1">
      <c r="A12" s="111" t="s">
        <v>190</v>
      </c>
      <c r="B12" s="112"/>
      <c r="C12" s="112"/>
      <c r="D12" s="112"/>
      <c r="E12" s="112"/>
      <c r="F12" s="112"/>
      <c r="G12" s="112"/>
      <c r="H12" s="112"/>
      <c r="I12" s="112"/>
    </row>
    <row r="13" spans="1:10" ht="26.45" customHeight="1">
      <c r="A13" s="51" t="s">
        <v>191</v>
      </c>
      <c r="B13" s="113" t="s">
        <v>203</v>
      </c>
      <c r="C13" s="114"/>
      <c r="D13" s="51" t="s">
        <v>206</v>
      </c>
      <c r="E13" s="113" t="s">
        <v>215</v>
      </c>
      <c r="F13" s="114"/>
      <c r="G13" s="51" t="s">
        <v>216</v>
      </c>
      <c r="H13" s="113" t="s">
        <v>233</v>
      </c>
      <c r="I13" s="114"/>
      <c r="J13" s="5"/>
    </row>
    <row r="14" spans="1:10" ht="15.2" customHeight="1">
      <c r="A14" s="52" t="s">
        <v>192</v>
      </c>
      <c r="B14" s="56" t="s">
        <v>204</v>
      </c>
      <c r="C14" s="59">
        <f>SUM('Stavební rozpočet'!AB12:AB79)</f>
        <v>0</v>
      </c>
      <c r="D14" s="115" t="s">
        <v>207</v>
      </c>
      <c r="E14" s="116"/>
      <c r="F14" s="59">
        <v>0</v>
      </c>
      <c r="G14" s="115" t="s">
        <v>217</v>
      </c>
      <c r="H14" s="116"/>
      <c r="I14" s="60" t="s">
        <v>234</v>
      </c>
      <c r="J14" s="5"/>
    </row>
    <row r="15" spans="1:10" ht="15.2" customHeight="1">
      <c r="A15" s="53"/>
      <c r="B15" s="56" t="s">
        <v>153</v>
      </c>
      <c r="C15" s="59">
        <f>SUM('Stavební rozpočet'!AC12:AC79)</f>
        <v>0</v>
      </c>
      <c r="D15" s="115" t="s">
        <v>208</v>
      </c>
      <c r="E15" s="116"/>
      <c r="F15" s="59">
        <v>0</v>
      </c>
      <c r="G15" s="115" t="s">
        <v>218</v>
      </c>
      <c r="H15" s="116"/>
      <c r="I15" s="60" t="s">
        <v>234</v>
      </c>
      <c r="J15" s="5"/>
    </row>
    <row r="16" spans="1:10" ht="15.2" customHeight="1">
      <c r="A16" s="52" t="s">
        <v>193</v>
      </c>
      <c r="B16" s="56" t="s">
        <v>204</v>
      </c>
      <c r="C16" s="59">
        <f>SUM('Stavební rozpočet'!AD12:AD79)</f>
        <v>0</v>
      </c>
      <c r="D16" s="115" t="s">
        <v>209</v>
      </c>
      <c r="E16" s="116"/>
      <c r="F16" s="59">
        <v>0</v>
      </c>
      <c r="G16" s="115" t="s">
        <v>219</v>
      </c>
      <c r="H16" s="116"/>
      <c r="I16" s="60" t="s">
        <v>234</v>
      </c>
      <c r="J16" s="5"/>
    </row>
    <row r="17" spans="1:10" ht="15.2" customHeight="1">
      <c r="A17" s="53"/>
      <c r="B17" s="56" t="s">
        <v>153</v>
      </c>
      <c r="C17" s="59">
        <f>SUM('Stavební rozpočet'!AE12:AE79)</f>
        <v>0</v>
      </c>
      <c r="D17" s="115"/>
      <c r="E17" s="116"/>
      <c r="F17" s="60"/>
      <c r="G17" s="115" t="s">
        <v>220</v>
      </c>
      <c r="H17" s="116"/>
      <c r="I17" s="60" t="s">
        <v>234</v>
      </c>
      <c r="J17" s="5"/>
    </row>
    <row r="18" spans="1:10" ht="15.2" customHeight="1">
      <c r="A18" s="52" t="s">
        <v>194</v>
      </c>
      <c r="B18" s="56" t="s">
        <v>204</v>
      </c>
      <c r="C18" s="59">
        <f>SUM('Stavební rozpočet'!AF12:AF79)</f>
        <v>0</v>
      </c>
      <c r="D18" s="115"/>
      <c r="E18" s="116"/>
      <c r="F18" s="60"/>
      <c r="G18" s="115" t="s">
        <v>221</v>
      </c>
      <c r="H18" s="116"/>
      <c r="I18" s="60" t="s">
        <v>234</v>
      </c>
      <c r="J18" s="5"/>
    </row>
    <row r="19" spans="1:10" ht="15.2" customHeight="1">
      <c r="A19" s="53"/>
      <c r="B19" s="56" t="s">
        <v>153</v>
      </c>
      <c r="C19" s="59">
        <f>SUM('Stavební rozpočet'!AG12:AG79)</f>
        <v>0</v>
      </c>
      <c r="D19" s="115"/>
      <c r="E19" s="116"/>
      <c r="F19" s="60"/>
      <c r="G19" s="115" t="s">
        <v>222</v>
      </c>
      <c r="H19" s="116"/>
      <c r="I19" s="60" t="s">
        <v>234</v>
      </c>
      <c r="J19" s="5"/>
    </row>
    <row r="20" spans="1:10" ht="15.2" customHeight="1">
      <c r="A20" s="117" t="s">
        <v>195</v>
      </c>
      <c r="B20" s="118"/>
      <c r="C20" s="59">
        <f>SUM('Stavební rozpočet'!AH12:AH79)</f>
        <v>0</v>
      </c>
      <c r="D20" s="115"/>
      <c r="E20" s="116"/>
      <c r="F20" s="60"/>
      <c r="G20" s="115"/>
      <c r="H20" s="116"/>
      <c r="I20" s="60"/>
      <c r="J20" s="5"/>
    </row>
    <row r="21" spans="1:10" ht="15.2" customHeight="1">
      <c r="A21" s="117" t="s">
        <v>196</v>
      </c>
      <c r="B21" s="118"/>
      <c r="C21" s="59">
        <f>SUM('Stavební rozpočet'!Z12:Z79)</f>
        <v>0</v>
      </c>
      <c r="D21" s="115"/>
      <c r="E21" s="116"/>
      <c r="F21" s="60"/>
      <c r="G21" s="115"/>
      <c r="H21" s="116"/>
      <c r="I21" s="60"/>
      <c r="J21" s="5"/>
    </row>
    <row r="22" spans="1:10" ht="16.7" customHeight="1">
      <c r="A22" s="117" t="s">
        <v>197</v>
      </c>
      <c r="B22" s="118"/>
      <c r="C22" s="59">
        <f>SUM(C14:C21)</f>
        <v>0</v>
      </c>
      <c r="D22" s="117" t="s">
        <v>210</v>
      </c>
      <c r="E22" s="118"/>
      <c r="F22" s="59">
        <f>SUM(F14:F21)</f>
        <v>0</v>
      </c>
      <c r="G22" s="117" t="s">
        <v>223</v>
      </c>
      <c r="H22" s="118"/>
      <c r="I22" s="59">
        <f>SUM(I14:I21)</f>
        <v>0</v>
      </c>
      <c r="J22" s="5"/>
    </row>
    <row r="23" spans="1:10" ht="15.2" customHeight="1">
      <c r="A23" s="9"/>
      <c r="B23" s="9"/>
      <c r="C23" s="58"/>
      <c r="D23" s="117" t="s">
        <v>211</v>
      </c>
      <c r="E23" s="118"/>
      <c r="F23" s="61">
        <v>0</v>
      </c>
      <c r="G23" s="117" t="s">
        <v>224</v>
      </c>
      <c r="H23" s="118"/>
      <c r="I23" s="59">
        <v>0</v>
      </c>
      <c r="J23" s="5"/>
    </row>
    <row r="24" spans="4:9" ht="15.2" customHeight="1">
      <c r="D24" s="9"/>
      <c r="E24" s="9"/>
      <c r="F24" s="62"/>
      <c r="G24" s="117" t="s">
        <v>225</v>
      </c>
      <c r="H24" s="118"/>
      <c r="I24" s="63"/>
    </row>
    <row r="25" spans="6:10" ht="15.2" customHeight="1">
      <c r="F25" s="37"/>
      <c r="G25" s="117" t="s">
        <v>226</v>
      </c>
      <c r="H25" s="118"/>
      <c r="I25" s="59">
        <v>0</v>
      </c>
      <c r="J25" s="5"/>
    </row>
    <row r="26" spans="1:9" ht="12.75">
      <c r="A26" s="16"/>
      <c r="B26" s="16"/>
      <c r="C26" s="16"/>
      <c r="G26" s="9"/>
      <c r="H26" s="9"/>
      <c r="I26" s="9"/>
    </row>
    <row r="27" spans="1:9" ht="15.2" customHeight="1">
      <c r="A27" s="119" t="s">
        <v>198</v>
      </c>
      <c r="B27" s="120"/>
      <c r="C27" s="64">
        <f>SUM('Stavební rozpočet'!AJ12:AJ79)</f>
        <v>0</v>
      </c>
      <c r="D27" s="8"/>
      <c r="E27" s="16"/>
      <c r="F27" s="16"/>
      <c r="G27" s="16"/>
      <c r="H27" s="16"/>
      <c r="I27" s="16"/>
    </row>
    <row r="28" spans="1:10" ht="15.2" customHeight="1">
      <c r="A28" s="119" t="s">
        <v>199</v>
      </c>
      <c r="B28" s="120"/>
      <c r="C28" s="64">
        <f>SUM('Stavební rozpočet'!AK12:AK79)</f>
        <v>0</v>
      </c>
      <c r="D28" s="119" t="s">
        <v>212</v>
      </c>
      <c r="E28" s="120"/>
      <c r="F28" s="64">
        <f>ROUND(C28*(15/100),2)</f>
        <v>0</v>
      </c>
      <c r="G28" s="119" t="s">
        <v>227</v>
      </c>
      <c r="H28" s="120"/>
      <c r="I28" s="64">
        <f>SUM(C27:C29)</f>
        <v>0</v>
      </c>
      <c r="J28" s="5"/>
    </row>
    <row r="29" spans="1:10" ht="15.2" customHeight="1">
      <c r="A29" s="119" t="s">
        <v>200</v>
      </c>
      <c r="B29" s="120"/>
      <c r="C29" s="64">
        <f>SUM('Stavební rozpočet'!AL12:AL79)+(F22+I22+F23+I23+I24+I25)</f>
        <v>0</v>
      </c>
      <c r="D29" s="119" t="s">
        <v>213</v>
      </c>
      <c r="E29" s="120"/>
      <c r="F29" s="64">
        <f>ROUND(C29*(21/100),2)</f>
        <v>0</v>
      </c>
      <c r="G29" s="119" t="s">
        <v>228</v>
      </c>
      <c r="H29" s="120"/>
      <c r="I29" s="64">
        <f>SUM(F28:F29)+I28</f>
        <v>0</v>
      </c>
      <c r="J29" s="5"/>
    </row>
    <row r="30" spans="1:9" ht="12.75">
      <c r="A30" s="54"/>
      <c r="B30" s="54"/>
      <c r="C30" s="54"/>
      <c r="D30" s="54"/>
      <c r="E30" s="54"/>
      <c r="F30" s="54"/>
      <c r="G30" s="54"/>
      <c r="H30" s="54"/>
      <c r="I30" s="54"/>
    </row>
    <row r="31" spans="1:10" ht="14.45" customHeight="1">
      <c r="A31" s="121" t="s">
        <v>201</v>
      </c>
      <c r="B31" s="122"/>
      <c r="C31" s="123"/>
      <c r="D31" s="121" t="s">
        <v>214</v>
      </c>
      <c r="E31" s="122"/>
      <c r="F31" s="123"/>
      <c r="G31" s="121" t="s">
        <v>229</v>
      </c>
      <c r="H31" s="122"/>
      <c r="I31" s="123"/>
      <c r="J31" s="41"/>
    </row>
    <row r="32" spans="1:10" ht="14.45" customHeight="1">
      <c r="A32" s="124"/>
      <c r="B32" s="125"/>
      <c r="C32" s="126"/>
      <c r="D32" s="124"/>
      <c r="E32" s="125"/>
      <c r="F32" s="126"/>
      <c r="G32" s="124"/>
      <c r="H32" s="125"/>
      <c r="I32" s="126"/>
      <c r="J32" s="41"/>
    </row>
    <row r="33" spans="1:10" ht="14.45" customHeight="1">
      <c r="A33" s="124"/>
      <c r="B33" s="125"/>
      <c r="C33" s="126"/>
      <c r="D33" s="124"/>
      <c r="E33" s="125"/>
      <c r="F33" s="126"/>
      <c r="G33" s="124"/>
      <c r="H33" s="125"/>
      <c r="I33" s="126"/>
      <c r="J33" s="41"/>
    </row>
    <row r="34" spans="1:10" ht="14.45" customHeight="1">
      <c r="A34" s="124"/>
      <c r="B34" s="125"/>
      <c r="C34" s="126"/>
      <c r="D34" s="124"/>
      <c r="E34" s="125"/>
      <c r="F34" s="126"/>
      <c r="G34" s="124"/>
      <c r="H34" s="125"/>
      <c r="I34" s="126"/>
      <c r="J34" s="41"/>
    </row>
    <row r="35" spans="1:10" ht="14.45" customHeight="1">
      <c r="A35" s="127" t="s">
        <v>202</v>
      </c>
      <c r="B35" s="128"/>
      <c r="C35" s="129"/>
      <c r="D35" s="127" t="s">
        <v>202</v>
      </c>
      <c r="E35" s="128"/>
      <c r="F35" s="129"/>
      <c r="G35" s="127" t="s">
        <v>202</v>
      </c>
      <c r="H35" s="128"/>
      <c r="I35" s="129"/>
      <c r="J35" s="41"/>
    </row>
    <row r="36" spans="1:9" ht="11.25" customHeight="1">
      <c r="A36" s="55" t="s">
        <v>29</v>
      </c>
      <c r="B36" s="57"/>
      <c r="C36" s="57"/>
      <c r="D36" s="57"/>
      <c r="E36" s="57"/>
      <c r="F36" s="57"/>
      <c r="G36" s="57"/>
      <c r="H36" s="57"/>
      <c r="I36" s="57"/>
    </row>
    <row r="37" spans="1:9" ht="12.75">
      <c r="A37" s="81"/>
      <c r="B37" s="68"/>
      <c r="C37" s="68"/>
      <c r="D37" s="68"/>
      <c r="E37" s="68"/>
      <c r="F37" s="68"/>
      <c r="G37" s="68"/>
      <c r="H37" s="68"/>
      <c r="I37" s="68"/>
    </row>
  </sheetData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</dc:creator>
  <cp:keywords/>
  <dc:description/>
  <cp:lastModifiedBy>Blovska Jitka</cp:lastModifiedBy>
  <dcterms:created xsi:type="dcterms:W3CDTF">2022-09-19T11:35:30Z</dcterms:created>
  <dcterms:modified xsi:type="dcterms:W3CDTF">2022-09-22T11:56:23Z</dcterms:modified>
  <cp:category/>
  <cp:version/>
  <cp:contentType/>
  <cp:contentStatus/>
</cp:coreProperties>
</file>