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<sst xmlns="http://schemas.openxmlformats.org/spreadsheetml/2006/main" count="571" uniqueCount="258">
  <si>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</si>
  <si>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</si>
  <si>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</si>
  <si>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</si>
  <si>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</si>
  <si>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</si>
  <si>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</si>
  <si>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</si>
  <si>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</si>
  <si>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</si>
  <si>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</si>
  <si>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</si>
  <si>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</si>
  <si>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</si>
  <si>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</si>
  <si>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</si>
  <si>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</si>
  <si>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</si>
  <si>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</si>
  <si>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</si>
  <si>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</si>
  <si>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</si>
  <si>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</si>
  <si>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</si>
  <si>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</si>
  <si>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</si>
  <si>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</si>
  <si>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</si>
  <si>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</si>
  <si>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</si>
  <si>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</si>
  <si>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</si>
  <si>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</si>
  <si>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</si>
  <si>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</si>
  <si>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Poznámka:</t>
  </si>
  <si>
    <t>V rozpočtu nejsou zahrnuty náklady na hromosvody!</t>
  </si>
  <si>
    <t>Kód</t>
  </si>
  <si>
    <t>712</t>
  </si>
  <si>
    <t>712300832R00</t>
  </si>
  <si>
    <t>712311106RZ4</t>
  </si>
  <si>
    <t>712341559RT2</t>
  </si>
  <si>
    <t>628522502</t>
  </si>
  <si>
    <t>62852265</t>
  </si>
  <si>
    <t>998712203R00</t>
  </si>
  <si>
    <t>764</t>
  </si>
  <si>
    <t>764430810R00</t>
  </si>
  <si>
    <t>764430840R00</t>
  </si>
  <si>
    <t>764331830R00</t>
  </si>
  <si>
    <t>764342841R00</t>
  </si>
  <si>
    <t>764343811R00</t>
  </si>
  <si>
    <t>764342811R00</t>
  </si>
  <si>
    <t>764530430R00</t>
  </si>
  <si>
    <t>764530450R00</t>
  </si>
  <si>
    <t>764231440R00</t>
  </si>
  <si>
    <t>764530420R00</t>
  </si>
  <si>
    <t>764242430R00</t>
  </si>
  <si>
    <t>764242410R00</t>
  </si>
  <si>
    <t>764243411R00</t>
  </si>
  <si>
    <t>998764203R00</t>
  </si>
  <si>
    <t>777</t>
  </si>
  <si>
    <t>777101101R00</t>
  </si>
  <si>
    <t>96</t>
  </si>
  <si>
    <t>965048150R00</t>
  </si>
  <si>
    <t>S</t>
  </si>
  <si>
    <t>979011111R00</t>
  </si>
  <si>
    <t>979011121R00</t>
  </si>
  <si>
    <t>979082113R00</t>
  </si>
  <si>
    <t>979082119R00</t>
  </si>
  <si>
    <t>979990121R00</t>
  </si>
  <si>
    <t>979990143R00</t>
  </si>
  <si>
    <t>979951111R00</t>
  </si>
  <si>
    <t>OPRAVA STŘEŠNÍHO PLÁŠTĚ VČ. ATIKY, VÝCHODNÍ ČÁST OBJEKTU 003 KRUŠNOHORSKÉ POLIKLINIKY</t>
  </si>
  <si>
    <t>RT-2131-1</t>
  </si>
  <si>
    <t>LITVÍNOV, ŽÍŽKOVA 151</t>
  </si>
  <si>
    <t>Zkrácený popis</t>
  </si>
  <si>
    <t>Rozměry</t>
  </si>
  <si>
    <t>Izolace střech (živičné krytiny)</t>
  </si>
  <si>
    <t>Odstranění povlakové krytiny střech do 10° 2vrstvé</t>
  </si>
  <si>
    <t>28,5*15,5+(3,9+4,1)*2*0,3+2,0*4*0,15*2</t>
  </si>
  <si>
    <t>(3,9+4,1)*2*0,35 + (3,6+3,85*2)*0,2</t>
  </si>
  <si>
    <t>2,0*4*0,2*2</t>
  </si>
  <si>
    <t>Povlaková krytina střech do 10°, asfalt.pen.emulze - včetně emulze Dekprimer 0,4 kg/m2</t>
  </si>
  <si>
    <t>Povlaková krytina střech do 10°, NAIP přitavením</t>
  </si>
  <si>
    <t>Pás modif. asfalt Elastek 40 special dekor červený</t>
  </si>
  <si>
    <t>460,01*1,15</t>
  </si>
  <si>
    <t>Pás modifikovaný asfalt Glastek 40 special mineral</t>
  </si>
  <si>
    <t>Přesun hmot pro povlakové krytiny, výšky do 24 m</t>
  </si>
  <si>
    <t>Konstrukce klempířské</t>
  </si>
  <si>
    <t>Demontáž oplechování zdí, rš do 250 mm</t>
  </si>
  <si>
    <t>(4,1*2+3,9)</t>
  </si>
  <si>
    <t>Demontáž oplechování zdí,rš od 330 do 500 mm</t>
  </si>
  <si>
    <t>(28,5+15,5)*2</t>
  </si>
  <si>
    <t>Demontáž lemování zdí, rš 250 a 330 mm, do 30°</t>
  </si>
  <si>
    <t>(3,9+4,1)*2</t>
  </si>
  <si>
    <t>Demontáž lemování trub D 250 mm, hl. kryt. do 30°</t>
  </si>
  <si>
    <t>10,0</t>
  </si>
  <si>
    <t>Demontáž lem. trub ze 2 dílů, D do 300 mm, do 30°</t>
  </si>
  <si>
    <t>Demontáž lemování trub D 75 mm, hl. kryt. do 30°</t>
  </si>
  <si>
    <t>82</t>
  </si>
  <si>
    <t>Oplechování zdí z Ti Zn plechu, rš 400 mm</t>
  </si>
  <si>
    <t>28,5*2+15,5</t>
  </si>
  <si>
    <t>Oplechování zdí z Ti Zn plechu, rš 600 mm</t>
  </si>
  <si>
    <t>15,5</t>
  </si>
  <si>
    <t>Lemování Ti Zn plechem zdí,tvrdá krytina,rš 400 mm</t>
  </si>
  <si>
    <t>Oplechování zdí z Ti Zn plechu, rš 330 mm</t>
  </si>
  <si>
    <t>4,1*2+3,9</t>
  </si>
  <si>
    <t>Lemování trub z Ti Zn, hladká krytina, D do 150 mm</t>
  </si>
  <si>
    <t>Lemování trub z Ti Zn, hladká krytina, D do 75 mm</t>
  </si>
  <si>
    <t>Lemování trub Ti Zn 2díly vl. kryt. D 300mm,do 30°</t>
  </si>
  <si>
    <t>Přesun hmot pro klempířské konstr., výšky do 24 m</t>
  </si>
  <si>
    <t>Podlahy ze syntetických hmot</t>
  </si>
  <si>
    <t>Příprava podkladu - vysávání podlah prům.vysavačem</t>
  </si>
  <si>
    <t>Bourání konstrukcí</t>
  </si>
  <si>
    <t>Dočištění povrchu podkladu  po vybourání živičných pásů, vybourání-dorovnání - tmel do 50%</t>
  </si>
  <si>
    <t>Přesuny sutí</t>
  </si>
  <si>
    <t>Svislá doprava suti a vybour. hmot za 2.NP a 1.PP</t>
  </si>
  <si>
    <t>4,6001</t>
  </si>
  <si>
    <t>0,0172+0,2024+0,0328+0,0081+0,0138+0,0377</t>
  </si>
  <si>
    <t>0,7857</t>
  </si>
  <si>
    <t>Příplatek za každé další podlaží</t>
  </si>
  <si>
    <t>4,6001*3</t>
  </si>
  <si>
    <t>(0,0172+0,2024+0,0328+0,0081+0,0138+0,0377)*3</t>
  </si>
  <si>
    <t>0,7857*3</t>
  </si>
  <si>
    <t>Vodorovná doprava suti po suchu do 1000 m</t>
  </si>
  <si>
    <t>Příplatek k přesunu suti za každých dalších 1000 m</t>
  </si>
  <si>
    <t>4,6001*14</t>
  </si>
  <si>
    <t>(0,0172+0,2024+0,0328+0,0081+0,0138+0,0377)*14</t>
  </si>
  <si>
    <t>0,7857*14</t>
  </si>
  <si>
    <t>Poplatek za skládku suti - asfaltové pásy</t>
  </si>
  <si>
    <t>Poplatek za skládku suti - polystyren</t>
  </si>
  <si>
    <t>Výkup kovů - železný šrot tl. do 4 mm</t>
  </si>
  <si>
    <t>Doba výstavby:</t>
  </si>
  <si>
    <t>Začátek výstavby:</t>
  </si>
  <si>
    <t>Konec výstavby:</t>
  </si>
  <si>
    <t>Zpracováno dne:</t>
  </si>
  <si>
    <t xml:space="preserve">   plocha</t>
  </si>
  <si>
    <t xml:space="preserve">   zeď výstupu + atika</t>
  </si>
  <si>
    <t xml:space="preserve">   boky základů</t>
  </si>
  <si>
    <t xml:space="preserve">   oplechování  atiky vstupu</t>
  </si>
  <si>
    <t xml:space="preserve">   Oplechování atiky střechy</t>
  </si>
  <si>
    <t xml:space="preserve">   KA</t>
  </si>
  <si>
    <t xml:space="preserve">   VZT</t>
  </si>
  <si>
    <t xml:space="preserve">   podstavce</t>
  </si>
  <si>
    <t xml:space="preserve">      Oplechování atiky střechy</t>
  </si>
  <si>
    <t xml:space="preserve">   Oplechování atiky u objektu</t>
  </si>
  <si>
    <t xml:space="preserve">   zeď vstupu</t>
  </si>
  <si>
    <t xml:space="preserve">   oplechování atiky vstupu</t>
  </si>
  <si>
    <t xml:space="preserve">  KA</t>
  </si>
  <si>
    <t xml:space="preserve">   živičné pásy</t>
  </si>
  <si>
    <t xml:space="preserve">   plechy</t>
  </si>
  <si>
    <t xml:space="preserve">  ostatní</t>
  </si>
  <si>
    <t xml:space="preserve">   živičné pásy - 3. až 5. np</t>
  </si>
  <si>
    <t xml:space="preserve">   plechy  - 3. až 3. np</t>
  </si>
  <si>
    <t xml:space="preserve">   ostatní</t>
  </si>
  <si>
    <t>24.08.2021</t>
  </si>
  <si>
    <t>MJ</t>
  </si>
  <si>
    <t>m2</t>
  </si>
  <si>
    <t>%</t>
  </si>
  <si>
    <t>m</t>
  </si>
  <si>
    <t>kus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</si>
  <si>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</si>
  <si>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</si>
  <si>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</si>
  <si>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</si>
  <si>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</si>
  <si>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</si>
  <si>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</si>
  <si>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</si>
  <si>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</si>
  <si>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Volek S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</si>
  <si>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</si>
  <si>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</si>
  <si>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</si>
  <si>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</si>
  <si>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</si>
  <si>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</si>
  <si>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</si>
  <si>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</si>
  <si>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</si>
  <si>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</si>
  <si>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</si>
  <si>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</si>
  <si>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</si>
  <si>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</si>
  <si>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</si>
  <si>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</si>
  <si>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</si>
  <si>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712_</t>
  </si>
  <si>
    <t>764_</t>
  </si>
  <si>
    <t>777_</t>
  </si>
  <si>
    <t>96_</t>
  </si>
  <si>
    <t>S_</t>
  </si>
  <si>
    <t>71_</t>
  </si>
  <si>
    <t>76_</t>
  </si>
  <si>
    <t>77_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</si>
  <si>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</si>
  <si>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</si>
  <si>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</si>
  <si>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</si>
  <si>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</si>
  <si>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</si>
  <si>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</si>
  <si>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</si>
  <si>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</si>
  <si>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Objekt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</si>
  <si>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</si>
  <si>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</si>
  <si>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</si>
  <si>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</si>
  <si>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</si>
  <si>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</si>
  <si>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</si>
  <si>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</si>
  <si>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</si>
  <si>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</si>
  <si>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</si>
  <si>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</si>
  <si>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</si>
  <si>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</si>
  <si>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</si>
  <si>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</si>
  <si>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</si>
  <si>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
V rozpočtu nejsou zahrnuty náklady na hromosvody!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</si>
  <si>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</si>
  <si>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</si>
  <si>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</si>
  <si>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</si>
  <si>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</si>
  <si>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</si>
  <si>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</si>
  <si>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</si>
  <si>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</si>
  <si>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</si>
  <si>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</si>
  <si>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</si>
  <si>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</si>
  <si>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</si>
  <si>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</si>
  <si>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</si>
  <si>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</si>
  <si>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</si>
  <si>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</si>
  <si>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</si>
  <si>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</si>
  <si>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</si>
  <si>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</si>
  <si>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</si>
  <si>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</si>
  <si>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</si>
  <si>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</si>
  <si>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</si>
  <si>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</si>
  <si>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</si>
  <si>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</si>
  <si>
    <t>Stavební rozpočet</t>
  </si>
  <si>
    <t>Stavební rozpočet - rekapitulace</t>
  </si>
  <si>
    <t>Krycí list rozpočtu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</si>
</sst>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  <numFmt numFmtId="168" formatCode="#,##0.000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2" fillId="34" borderId="35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4" fillId="0" borderId="35" xfId="0" applyNumberFormat="1" applyFont="1" applyFill="1" applyBorder="1" applyAlignment="1" applyProtection="1">
      <alignment horizontal="right" vertical="center"/>
      <protection/>
    </xf>
    <xf numFmtId="49" fontId="14" fillId="0" borderId="35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" fontId="13" fillId="34" borderId="4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 horizontal="right" vertical="center"/>
      <protection/>
    </xf>
    <xf numFmtId="168" fontId="9" fillId="0" borderId="0" xfId="0" applyNumberFormat="1" applyFont="1" applyFill="1" applyBorder="1" applyAlignment="1" applyProtection="1">
      <alignment horizontal="right" vertical="center"/>
      <protection/>
    </xf>
    <xf numFmtId="168" fontId="6" fillId="0" borderId="0" xfId="0" applyNumberFormat="1" applyFont="1" applyFill="1" applyBorder="1" applyAlignment="1" applyProtection="1">
      <alignment horizontal="right" vertical="center"/>
      <protection/>
    </xf>
    <xf numFmtId="168" fontId="9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49" fontId="15" fillId="0" borderId="39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3" fillId="34" borderId="39" xfId="0" applyNumberFormat="1" applyFont="1" applyFill="1" applyBorder="1" applyAlignment="1" applyProtection="1">
      <alignment horizontal="left" vertical="center"/>
      <protection/>
    </xf>
    <xf numFmtId="0" fontId="13" fillId="34" borderId="42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4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4" fillId="0" borderId="46" xfId="0" applyNumberFormat="1" applyFont="1" applyFill="1" applyBorder="1" applyAlignment="1" applyProtection="1">
      <alignment horizontal="left" vertical="center"/>
      <protection/>
    </xf>
    <xf numFmtId="0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7</xdr:row>
      <xdr:rowOff>19050</xdr:rowOff>
    </xdr:from>
    <xdr:to>
      <xdr:col>6</xdr:col>
      <xdr:colOff>371475</xdr:colOff>
      <xdr:row>10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07645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6" sqref="F6:G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6"/>
      <c r="B1" s="17"/>
      <c r="C1" s="81" t="s">
        <v>257</v>
      </c>
      <c r="D1" s="82"/>
      <c r="E1" s="82"/>
      <c r="F1" s="82"/>
      <c r="G1" s="82"/>
      <c r="H1" s="82"/>
      <c r="I1" s="82"/>
    </row>
    <row r="2" spans="1:10" ht="12.75">
      <c r="A2" s="83" t="s">
        <v>0</v>
      </c>
      <c r="B2" s="84"/>
      <c r="C2" s="87" t="str">
        <f>'Stavební rozpočet'!C2</f>
        <v>OPRAVA STŘEŠNÍHO PLÁŠTĚ VČ. ATIKY, VÝCHODNÍ ČÁST OBJEKTU 003 KRUŠNOHORSKÉ POLIKLINIKY</v>
      </c>
      <c r="D2" s="88"/>
      <c r="E2" s="90" t="s">
        <v>163</v>
      </c>
      <c r="F2" s="90" t="str">
        <f>'Stavební rozpočet'!J2</f>
        <v> </v>
      </c>
      <c r="G2" s="84"/>
      <c r="H2" s="90" t="s">
        <v>250</v>
      </c>
      <c r="I2" s="91"/>
      <c r="J2" s="5"/>
    </row>
    <row r="3" spans="1:10" ht="25.5" customHeight="1">
      <c r="A3" s="85"/>
      <c r="B3" s="86"/>
      <c r="C3" s="89"/>
      <c r="D3" s="89"/>
      <c r="E3" s="86"/>
      <c r="F3" s="86"/>
      <c r="G3" s="86"/>
      <c r="H3" s="86"/>
      <c r="I3" s="92"/>
      <c r="J3" s="5"/>
    </row>
    <row r="4" spans="1:10" ht="12.75">
      <c r="A4" s="93" t="s">
        <v>1</v>
      </c>
      <c r="B4" s="86"/>
      <c r="C4" s="94" t="str">
        <f>'Stavební rozpočet'!C4</f>
        <v>RT-2131-1</v>
      </c>
      <c r="D4" s="86"/>
      <c r="E4" s="94" t="s">
        <v>164</v>
      </c>
      <c r="F4" s="94" t="str">
        <f>'Stavební rozpočet'!J4</f>
        <v> </v>
      </c>
      <c r="G4" s="86"/>
      <c r="H4" s="94" t="s">
        <v>250</v>
      </c>
      <c r="I4" s="95"/>
      <c r="J4" s="5"/>
    </row>
    <row r="5" spans="1:10" ht="12.75">
      <c r="A5" s="85"/>
      <c r="B5" s="86"/>
      <c r="C5" s="86"/>
      <c r="D5" s="86"/>
      <c r="E5" s="86"/>
      <c r="F5" s="86"/>
      <c r="G5" s="86"/>
      <c r="H5" s="86"/>
      <c r="I5" s="92"/>
      <c r="J5" s="5"/>
    </row>
    <row r="6" spans="1:10" ht="12.75">
      <c r="A6" s="93" t="s">
        <v>2</v>
      </c>
      <c r="B6" s="86"/>
      <c r="C6" s="94" t="str">
        <f>'Stavební rozpočet'!C6</f>
        <v>LITVÍNOV, ŽÍŽKOVA 151</v>
      </c>
      <c r="D6" s="86"/>
      <c r="E6" s="94" t="s">
        <v>165</v>
      </c>
      <c r="F6" s="94" t="str">
        <f>'Stavební rozpočet'!J6</f>
        <v> </v>
      </c>
      <c r="G6" s="86"/>
      <c r="H6" s="94" t="s">
        <v>250</v>
      </c>
      <c r="I6" s="95"/>
      <c r="J6" s="5"/>
    </row>
    <row r="7" spans="1:10" ht="12.75">
      <c r="A7" s="85"/>
      <c r="B7" s="86"/>
      <c r="C7" s="86"/>
      <c r="D7" s="86"/>
      <c r="E7" s="86"/>
      <c r="F7" s="86"/>
      <c r="G7" s="86"/>
      <c r="H7" s="86"/>
      <c r="I7" s="92"/>
      <c r="J7" s="5"/>
    </row>
    <row r="8" spans="1:10" ht="12.75">
      <c r="A8" s="93" t="s">
        <v>133</v>
      </c>
      <c r="B8" s="86"/>
      <c r="C8" s="94" t="str">
        <f>'Stavební rozpočet'!G4</f>
        <v> </v>
      </c>
      <c r="D8" s="86"/>
      <c r="E8" s="94" t="s">
        <v>134</v>
      </c>
      <c r="F8" s="94" t="str">
        <f>'Stavební rozpočet'!G6</f>
        <v> </v>
      </c>
      <c r="G8" s="86"/>
      <c r="H8" s="96" t="s">
        <v>251</v>
      </c>
      <c r="I8" s="95" t="s">
        <v>34</v>
      </c>
      <c r="J8" s="5"/>
    </row>
    <row r="9" spans="1:10" ht="12.75">
      <c r="A9" s="85"/>
      <c r="B9" s="86"/>
      <c r="C9" s="86"/>
      <c r="D9" s="86"/>
      <c r="E9" s="86"/>
      <c r="F9" s="86"/>
      <c r="G9" s="86"/>
      <c r="H9" s="86"/>
      <c r="I9" s="92"/>
      <c r="J9" s="5"/>
    </row>
    <row r="10" spans="1:10" ht="12.75">
      <c r="A10" s="93" t="s">
        <v>3</v>
      </c>
      <c r="B10" s="86"/>
      <c r="C10" s="94">
        <f>'Stavební rozpočet'!C8</f>
        <v>8011</v>
      </c>
      <c r="D10" s="86"/>
      <c r="E10" s="94" t="s">
        <v>166</v>
      </c>
      <c r="F10" s="94" t="str">
        <f>'Stavební rozpočet'!J8</f>
        <v>Volek S</v>
      </c>
      <c r="G10" s="86"/>
      <c r="H10" s="96" t="s">
        <v>252</v>
      </c>
      <c r="I10" s="99" t="str">
        <f>'Stavební rozpočet'!G8</f>
        <v>24.08.2021</v>
      </c>
      <c r="J10" s="5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100"/>
      <c r="J11" s="5"/>
    </row>
    <row r="12" spans="1:9" ht="23.25" customHeight="1">
      <c r="A12" s="101" t="s">
        <v>210</v>
      </c>
      <c r="B12" s="102"/>
      <c r="C12" s="102"/>
      <c r="D12" s="102"/>
      <c r="E12" s="102"/>
      <c r="F12" s="102"/>
      <c r="G12" s="102"/>
      <c r="H12" s="102"/>
      <c r="I12" s="102"/>
    </row>
    <row r="13" spans="1:10" ht="26.25" customHeight="1">
      <c r="A13" s="62" t="s">
        <v>211</v>
      </c>
      <c r="B13" s="103" t="s">
        <v>224</v>
      </c>
      <c r="C13" s="104"/>
      <c r="D13" s="62" t="s">
        <v>226</v>
      </c>
      <c r="E13" s="103" t="s">
        <v>235</v>
      </c>
      <c r="F13" s="104"/>
      <c r="G13" s="62" t="s">
        <v>236</v>
      </c>
      <c r="H13" s="103" t="s">
        <v>253</v>
      </c>
      <c r="I13" s="104"/>
      <c r="J13" s="5"/>
    </row>
    <row r="14" spans="1:10" ht="15" customHeight="1">
      <c r="A14" s="63" t="s">
        <v>212</v>
      </c>
      <c r="B14" s="67" t="s">
        <v>225</v>
      </c>
      <c r="C14" s="70">
        <f>SUM('Stavební rozpočet'!AB12:AB86)</f>
        <v>0</v>
      </c>
      <c r="D14" s="105" t="s">
        <v>227</v>
      </c>
      <c r="E14" s="106"/>
      <c r="F14" s="70">
        <v>0</v>
      </c>
      <c r="G14" s="105" t="s">
        <v>237</v>
      </c>
      <c r="H14" s="106"/>
      <c r="I14" s="71" t="s">
        <v>254</v>
      </c>
      <c r="J14" s="5"/>
    </row>
    <row r="15" spans="1:10" ht="15" customHeight="1">
      <c r="A15" s="64"/>
      <c r="B15" s="67" t="s">
        <v>174</v>
      </c>
      <c r="C15" s="70">
        <f>SUM('Stavební rozpočet'!AC12:AC86)</f>
        <v>0</v>
      </c>
      <c r="D15" s="105" t="s">
        <v>228</v>
      </c>
      <c r="E15" s="106"/>
      <c r="F15" s="70">
        <v>0</v>
      </c>
      <c r="G15" s="105" t="s">
        <v>238</v>
      </c>
      <c r="H15" s="106"/>
      <c r="I15" s="71" t="s">
        <v>254</v>
      </c>
      <c r="J15" s="5"/>
    </row>
    <row r="16" spans="1:10" ht="15" customHeight="1">
      <c r="A16" s="63" t="s">
        <v>213</v>
      </c>
      <c r="B16" s="67" t="s">
        <v>225</v>
      </c>
      <c r="C16" s="70">
        <f>SUM('Stavební rozpočet'!AD12:AD86)</f>
        <v>0</v>
      </c>
      <c r="D16" s="105" t="s">
        <v>229</v>
      </c>
      <c r="E16" s="106"/>
      <c r="F16" s="70">
        <v>0</v>
      </c>
      <c r="G16" s="105" t="s">
        <v>239</v>
      </c>
      <c r="H16" s="106"/>
      <c r="I16" s="71" t="s">
        <v>254</v>
      </c>
      <c r="J16" s="5"/>
    </row>
    <row r="17" spans="1:10" ht="15" customHeight="1">
      <c r="A17" s="64"/>
      <c r="B17" s="67" t="s">
        <v>174</v>
      </c>
      <c r="C17" s="70">
        <f>SUM('Stavební rozpočet'!AE12:AE86)</f>
        <v>0</v>
      </c>
      <c r="D17" s="105"/>
      <c r="E17" s="106"/>
      <c r="F17" s="71"/>
      <c r="G17" s="105" t="s">
        <v>240</v>
      </c>
      <c r="H17" s="106"/>
      <c r="I17" s="71" t="s">
        <v>254</v>
      </c>
      <c r="J17" s="5"/>
    </row>
    <row r="18" spans="1:10" ht="15" customHeight="1">
      <c r="A18" s="63" t="s">
        <v>214</v>
      </c>
      <c r="B18" s="67" t="s">
        <v>225</v>
      </c>
      <c r="C18" s="70">
        <f>SUM('Stavební rozpočet'!AF12:AF86)</f>
        <v>0</v>
      </c>
      <c r="D18" s="105"/>
      <c r="E18" s="106"/>
      <c r="F18" s="71"/>
      <c r="G18" s="105" t="s">
        <v>241</v>
      </c>
      <c r="H18" s="106"/>
      <c r="I18" s="71" t="s">
        <v>254</v>
      </c>
      <c r="J18" s="5"/>
    </row>
    <row r="19" spans="1:10" ht="15" customHeight="1">
      <c r="A19" s="64"/>
      <c r="B19" s="67" t="s">
        <v>174</v>
      </c>
      <c r="C19" s="70">
        <f>SUM('Stavební rozpočet'!AG12:AG86)</f>
        <v>0</v>
      </c>
      <c r="D19" s="105"/>
      <c r="E19" s="106"/>
      <c r="F19" s="71"/>
      <c r="G19" s="105" t="s">
        <v>242</v>
      </c>
      <c r="H19" s="106"/>
      <c r="I19" s="71" t="s">
        <v>254</v>
      </c>
      <c r="J19" s="5"/>
    </row>
    <row r="20" spans="1:10" ht="15" customHeight="1">
      <c r="A20" s="107" t="s">
        <v>215</v>
      </c>
      <c r="B20" s="108"/>
      <c r="C20" s="70">
        <f>SUM('Stavební rozpočet'!AH12:AH86)</f>
        <v>0</v>
      </c>
      <c r="D20" s="105"/>
      <c r="E20" s="106"/>
      <c r="F20" s="71"/>
      <c r="G20" s="105"/>
      <c r="H20" s="106"/>
      <c r="I20" s="71"/>
      <c r="J20" s="5"/>
    </row>
    <row r="21" spans="1:10" ht="15" customHeight="1">
      <c r="A21" s="107" t="s">
        <v>216</v>
      </c>
      <c r="B21" s="108"/>
      <c r="C21" s="70">
        <f>SUM('Stavební rozpočet'!Z12:Z86)</f>
        <v>0</v>
      </c>
      <c r="D21" s="105"/>
      <c r="E21" s="106"/>
      <c r="F21" s="71"/>
      <c r="G21" s="105"/>
      <c r="H21" s="106"/>
      <c r="I21" s="71"/>
      <c r="J21" s="5"/>
    </row>
    <row r="22" spans="1:10" ht="16.5" customHeight="1">
      <c r="A22" s="107" t="s">
        <v>217</v>
      </c>
      <c r="B22" s="108"/>
      <c r="C22" s="70">
        <f>SUM(C14:C21)</f>
        <v>0</v>
      </c>
      <c r="D22" s="107" t="s">
        <v>230</v>
      </c>
      <c r="E22" s="108"/>
      <c r="F22" s="70">
        <f>SUM(F14:F21)</f>
        <v>0</v>
      </c>
      <c r="G22" s="107" t="s">
        <v>243</v>
      </c>
      <c r="H22" s="108"/>
      <c r="I22" s="70">
        <f>SUM(I14:I21)</f>
        <v>0</v>
      </c>
      <c r="J22" s="5"/>
    </row>
    <row r="23" spans="1:10" ht="15" customHeight="1">
      <c r="A23" s="9"/>
      <c r="B23" s="9"/>
      <c r="C23" s="69"/>
      <c r="D23" s="107" t="s">
        <v>231</v>
      </c>
      <c r="E23" s="108"/>
      <c r="F23" s="72">
        <v>0</v>
      </c>
      <c r="G23" s="107" t="s">
        <v>244</v>
      </c>
      <c r="H23" s="108"/>
      <c r="I23" s="70">
        <v>0</v>
      </c>
      <c r="J23" s="5"/>
    </row>
    <row r="24" spans="4:9" ht="15" customHeight="1">
      <c r="D24" s="9"/>
      <c r="E24" s="9"/>
      <c r="F24" s="73"/>
      <c r="G24" s="107" t="s">
        <v>245</v>
      </c>
      <c r="H24" s="108"/>
      <c r="I24" s="74"/>
    </row>
    <row r="25" spans="6:10" ht="15" customHeight="1">
      <c r="F25" s="37"/>
      <c r="G25" s="107" t="s">
        <v>246</v>
      </c>
      <c r="H25" s="108"/>
      <c r="I25" s="70">
        <v>0</v>
      </c>
      <c r="J25" s="5"/>
    </row>
    <row r="26" spans="1:9" ht="12.75">
      <c r="A26" s="17"/>
      <c r="B26" s="17"/>
      <c r="C26" s="17"/>
      <c r="G26" s="9"/>
      <c r="H26" s="9"/>
      <c r="I26" s="9"/>
    </row>
    <row r="27" spans="1:9" ht="15" customHeight="1">
      <c r="A27" s="109" t="s">
        <v>218</v>
      </c>
      <c r="B27" s="110"/>
      <c r="C27" s="75">
        <f>SUM('Stavební rozpočet'!AJ12:AJ86)</f>
        <v>0</v>
      </c>
      <c r="D27" s="8"/>
      <c r="E27" s="17"/>
      <c r="F27" s="17"/>
      <c r="G27" s="17"/>
      <c r="H27" s="17"/>
      <c r="I27" s="17"/>
    </row>
    <row r="28" spans="1:10" ht="15" customHeight="1">
      <c r="A28" s="109" t="s">
        <v>219</v>
      </c>
      <c r="B28" s="110"/>
      <c r="C28" s="75">
        <f>SUM('Stavební rozpočet'!AK12:AK86)</f>
        <v>0</v>
      </c>
      <c r="D28" s="109" t="s">
        <v>232</v>
      </c>
      <c r="E28" s="110"/>
      <c r="F28" s="75">
        <f>ROUND(C28*(15/100),2)</f>
        <v>0</v>
      </c>
      <c r="G28" s="109" t="s">
        <v>247</v>
      </c>
      <c r="H28" s="110"/>
      <c r="I28" s="75">
        <f>SUM(C27:C29)</f>
        <v>0</v>
      </c>
      <c r="J28" s="5"/>
    </row>
    <row r="29" spans="1:10" ht="15" customHeight="1">
      <c r="A29" s="109" t="s">
        <v>220</v>
      </c>
      <c r="B29" s="110"/>
      <c r="C29" s="75">
        <f>SUM('Stavební rozpočet'!AL12:AL86)+(F22+I22+F23+I23+I24+I25)</f>
        <v>0</v>
      </c>
      <c r="D29" s="109" t="s">
        <v>233</v>
      </c>
      <c r="E29" s="110"/>
      <c r="F29" s="75">
        <f>ROUND(C29*(21/100),2)</f>
        <v>0</v>
      </c>
      <c r="G29" s="109" t="s">
        <v>248</v>
      </c>
      <c r="H29" s="110"/>
      <c r="I29" s="75">
        <f>SUM(F28:F29)+I28</f>
        <v>0</v>
      </c>
      <c r="J29" s="5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1" spans="1:10" ht="14.25" customHeight="1">
      <c r="A31" s="111" t="s">
        <v>221</v>
      </c>
      <c r="B31" s="112"/>
      <c r="C31" s="113"/>
      <c r="D31" s="111" t="s">
        <v>234</v>
      </c>
      <c r="E31" s="112"/>
      <c r="F31" s="113"/>
      <c r="G31" s="111" t="s">
        <v>249</v>
      </c>
      <c r="H31" s="112"/>
      <c r="I31" s="113"/>
      <c r="J31" s="41"/>
    </row>
    <row r="32" spans="1:10" ht="14.25" customHeight="1">
      <c r="A32" s="114"/>
      <c r="B32" s="115"/>
      <c r="C32" s="116"/>
      <c r="D32" s="114"/>
      <c r="E32" s="115"/>
      <c r="F32" s="116"/>
      <c r="G32" s="114"/>
      <c r="H32" s="115"/>
      <c r="I32" s="116"/>
      <c r="J32" s="41"/>
    </row>
    <row r="33" spans="1:10" ht="14.25" customHeight="1">
      <c r="A33" s="114"/>
      <c r="B33" s="115"/>
      <c r="C33" s="116"/>
      <c r="D33" s="114"/>
      <c r="E33" s="115"/>
      <c r="F33" s="116"/>
      <c r="G33" s="114"/>
      <c r="H33" s="115"/>
      <c r="I33" s="116"/>
      <c r="J33" s="41"/>
    </row>
    <row r="34" spans="1:10" ht="14.25" customHeight="1">
      <c r="A34" s="114"/>
      <c r="B34" s="115"/>
      <c r="C34" s="116"/>
      <c r="D34" s="114"/>
      <c r="E34" s="115"/>
      <c r="F34" s="116"/>
      <c r="G34" s="114"/>
      <c r="H34" s="115"/>
      <c r="I34" s="116"/>
      <c r="J34" s="41"/>
    </row>
    <row r="35" spans="1:10" ht="14.25" customHeight="1">
      <c r="A35" s="117" t="s">
        <v>222</v>
      </c>
      <c r="B35" s="118"/>
      <c r="C35" s="119"/>
      <c r="D35" s="117" t="s">
        <v>222</v>
      </c>
      <c r="E35" s="118"/>
      <c r="F35" s="119"/>
      <c r="G35" s="117" t="s">
        <v>222</v>
      </c>
      <c r="H35" s="118"/>
      <c r="I35" s="119"/>
      <c r="J35" s="41"/>
    </row>
    <row r="36" spans="1:9" ht="11.25" customHeight="1">
      <c r="A36" s="66" t="s">
        <v>35</v>
      </c>
      <c r="B36" s="68"/>
      <c r="C36" s="68"/>
      <c r="D36" s="68"/>
      <c r="E36" s="68"/>
      <c r="F36" s="68"/>
      <c r="G36" s="68"/>
      <c r="H36" s="68"/>
      <c r="I36" s="68"/>
    </row>
    <row r="37" spans="1:9" ht="25.5" customHeight="1">
      <c r="A37" s="94" t="s">
        <v>223</v>
      </c>
      <c r="B37" s="86"/>
      <c r="C37" s="86"/>
      <c r="D37" s="86"/>
      <c r="E37" s="86"/>
      <c r="F37" s="86"/>
      <c r="G37" s="86"/>
      <c r="H37" s="86"/>
      <c r="I37" s="86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15" sqref="C15:D15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20" t="s">
        <v>256</v>
      </c>
      <c r="B1" s="82"/>
      <c r="C1" s="82"/>
      <c r="D1" s="82"/>
      <c r="E1" s="82"/>
      <c r="F1" s="82"/>
      <c r="G1" s="82"/>
    </row>
    <row r="2" spans="1:8" ht="12.75">
      <c r="A2" s="83" t="s">
        <v>0</v>
      </c>
      <c r="B2" s="84"/>
      <c r="C2" s="87" t="str">
        <f>'Stavební rozpočet'!C2</f>
        <v>OPRAVA STŘEŠNÍHO PLÁŠTĚ VČ. ATIKY, VÝCHODNÍ ČÁST OBJEKTU 003 KRUŠNOHORSKÉ POLIKLINIKY</v>
      </c>
      <c r="D2" s="121" t="s">
        <v>132</v>
      </c>
      <c r="E2" s="121" t="s">
        <v>5</v>
      </c>
      <c r="F2" s="90" t="s">
        <v>163</v>
      </c>
      <c r="G2" s="122" t="str">
        <f>'Stavební rozpočet'!J2</f>
        <v> </v>
      </c>
      <c r="H2" s="5"/>
    </row>
    <row r="3" spans="1:8" ht="12.75">
      <c r="A3" s="85"/>
      <c r="B3" s="86"/>
      <c r="C3" s="89"/>
      <c r="D3" s="86"/>
      <c r="E3" s="86"/>
      <c r="F3" s="86"/>
      <c r="G3" s="92"/>
      <c r="H3" s="5"/>
    </row>
    <row r="4" spans="1:8" ht="12.75">
      <c r="A4" s="93" t="s">
        <v>1</v>
      </c>
      <c r="B4" s="86"/>
      <c r="C4" s="94" t="str">
        <f>'Stavební rozpočet'!C4</f>
        <v>RT-2131-1</v>
      </c>
      <c r="D4" s="96" t="s">
        <v>133</v>
      </c>
      <c r="E4" s="96" t="s">
        <v>5</v>
      </c>
      <c r="F4" s="94" t="s">
        <v>164</v>
      </c>
      <c r="G4" s="99" t="str">
        <f>'Stavební rozpočet'!J4</f>
        <v> </v>
      </c>
      <c r="H4" s="5"/>
    </row>
    <row r="5" spans="1:8" ht="12.75">
      <c r="A5" s="85"/>
      <c r="B5" s="86"/>
      <c r="C5" s="86"/>
      <c r="D5" s="86"/>
      <c r="E5" s="86"/>
      <c r="F5" s="86"/>
      <c r="G5" s="92"/>
      <c r="H5" s="5"/>
    </row>
    <row r="6" spans="1:8" ht="12.75">
      <c r="A6" s="93" t="s">
        <v>2</v>
      </c>
      <c r="B6" s="86"/>
      <c r="C6" s="94" t="str">
        <f>'Stavební rozpočet'!C6</f>
        <v>LITVÍNOV, ŽÍŽKOVA 151</v>
      </c>
      <c r="D6" s="96" t="s">
        <v>134</v>
      </c>
      <c r="E6" s="96" t="s">
        <v>5</v>
      </c>
      <c r="F6" s="94" t="s">
        <v>165</v>
      </c>
      <c r="G6" s="99" t="str">
        <f>'Stavební rozpočet'!J6</f>
        <v> </v>
      </c>
      <c r="H6" s="5"/>
    </row>
    <row r="7" spans="1:8" ht="12.75">
      <c r="A7" s="85"/>
      <c r="B7" s="86"/>
      <c r="C7" s="86"/>
      <c r="D7" s="86"/>
      <c r="E7" s="86"/>
      <c r="F7" s="86"/>
      <c r="G7" s="92"/>
      <c r="H7" s="5"/>
    </row>
    <row r="8" spans="1:8" ht="12.75">
      <c r="A8" s="93" t="s">
        <v>166</v>
      </c>
      <c r="B8" s="86"/>
      <c r="C8" s="94" t="str">
        <f>'Stavební rozpočet'!J8</f>
        <v>Volek S</v>
      </c>
      <c r="D8" s="96" t="s">
        <v>135</v>
      </c>
      <c r="E8" s="96" t="s">
        <v>155</v>
      </c>
      <c r="F8" s="96" t="s">
        <v>135</v>
      </c>
      <c r="G8" s="99" t="str">
        <f>'Stavební rozpočet'!G8</f>
        <v>24.08.2021</v>
      </c>
      <c r="H8" s="5"/>
    </row>
    <row r="9" spans="1:8" ht="12.75">
      <c r="A9" s="126"/>
      <c r="B9" s="123"/>
      <c r="C9" s="123"/>
      <c r="D9" s="98"/>
      <c r="E9" s="123"/>
      <c r="F9" s="123"/>
      <c r="G9" s="124"/>
      <c r="H9" s="5"/>
    </row>
    <row r="10" spans="1:8" ht="12.75">
      <c r="A10" s="51" t="s">
        <v>205</v>
      </c>
      <c r="B10" s="54" t="s">
        <v>37</v>
      </c>
      <c r="C10" s="56" t="s">
        <v>75</v>
      </c>
      <c r="D10" s="57"/>
      <c r="E10" s="58" t="s">
        <v>206</v>
      </c>
      <c r="F10" s="58" t="s">
        <v>207</v>
      </c>
      <c r="G10" s="58" t="s">
        <v>208</v>
      </c>
      <c r="H10" s="5"/>
    </row>
    <row r="11" spans="1:9" ht="12.75">
      <c r="A11" s="52"/>
      <c r="B11" s="55" t="s">
        <v>38</v>
      </c>
      <c r="C11" s="125" t="s">
        <v>77</v>
      </c>
      <c r="D11" s="86"/>
      <c r="E11" s="60">
        <f>'Stavební rozpočet'!J12</f>
        <v>0</v>
      </c>
      <c r="F11" s="60">
        <f>'Stavební rozpočet'!K12</f>
        <v>0</v>
      </c>
      <c r="G11" s="60">
        <f>'Stavební rozpočet'!L12</f>
        <v>0</v>
      </c>
      <c r="H11" s="43" t="s">
        <v>209</v>
      </c>
      <c r="I11" s="43">
        <f>IF(H11="F",0,G11)</f>
        <v>0</v>
      </c>
    </row>
    <row r="12" spans="1:9" ht="12.75">
      <c r="A12" s="53"/>
      <c r="B12" s="20" t="s">
        <v>45</v>
      </c>
      <c r="C12" s="96" t="s">
        <v>88</v>
      </c>
      <c r="D12" s="86"/>
      <c r="E12" s="43">
        <f>'Stavební rozpočet'!J30</f>
        <v>0</v>
      </c>
      <c r="F12" s="43">
        <f>'Stavební rozpočet'!K30</f>
        <v>0</v>
      </c>
      <c r="G12" s="43">
        <f>'Stavební rozpočet'!L30</f>
        <v>0</v>
      </c>
      <c r="H12" s="43" t="s">
        <v>209</v>
      </c>
      <c r="I12" s="43">
        <f>IF(H12="F",0,G12)</f>
        <v>0</v>
      </c>
    </row>
    <row r="13" spans="1:9" ht="12.75">
      <c r="A13" s="53"/>
      <c r="B13" s="20" t="s">
        <v>60</v>
      </c>
      <c r="C13" s="96" t="s">
        <v>111</v>
      </c>
      <c r="D13" s="86"/>
      <c r="E13" s="43">
        <f>'Stavební rozpočet'!J58</f>
        <v>0</v>
      </c>
      <c r="F13" s="43">
        <f>'Stavební rozpočet'!K58</f>
        <v>0</v>
      </c>
      <c r="G13" s="43">
        <f>'Stavební rozpočet'!L58</f>
        <v>0</v>
      </c>
      <c r="H13" s="43" t="s">
        <v>209</v>
      </c>
      <c r="I13" s="43">
        <f>IF(H13="F",0,G13)</f>
        <v>0</v>
      </c>
    </row>
    <row r="14" spans="1:9" ht="12.75">
      <c r="A14" s="53"/>
      <c r="B14" s="20" t="s">
        <v>62</v>
      </c>
      <c r="C14" s="96" t="s">
        <v>113</v>
      </c>
      <c r="D14" s="86"/>
      <c r="E14" s="43">
        <f>'Stavební rozpočet'!J61</f>
        <v>0</v>
      </c>
      <c r="F14" s="43">
        <f>'Stavební rozpočet'!K61</f>
        <v>0</v>
      </c>
      <c r="G14" s="43">
        <f>'Stavební rozpočet'!L61</f>
        <v>0</v>
      </c>
      <c r="H14" s="43" t="s">
        <v>209</v>
      </c>
      <c r="I14" s="43">
        <f>IF(H14="F",0,G14)</f>
        <v>0</v>
      </c>
    </row>
    <row r="15" spans="1:9" ht="12.75">
      <c r="A15" s="53"/>
      <c r="B15" s="20" t="s">
        <v>64</v>
      </c>
      <c r="C15" s="96" t="s">
        <v>115</v>
      </c>
      <c r="D15" s="86"/>
      <c r="E15" s="43">
        <f>'Stavební rozpočet'!J64</f>
        <v>0</v>
      </c>
      <c r="F15" s="43">
        <f>'Stavební rozpočet'!K64</f>
        <v>0</v>
      </c>
      <c r="G15" s="43">
        <f>'Stavební rozpočet'!L64</f>
        <v>0</v>
      </c>
      <c r="H15" s="43" t="s">
        <v>209</v>
      </c>
      <c r="I15" s="43">
        <f>IF(H15="F",0,G15)</f>
        <v>0</v>
      </c>
    </row>
    <row r="16" spans="6:7" ht="12.75">
      <c r="F16" s="59" t="s">
        <v>173</v>
      </c>
      <c r="G16" s="61">
        <f>SUM(I11:I15)</f>
        <v>0</v>
      </c>
    </row>
  </sheetData>
  <sheetProtection/>
  <mergeCells count="30">
    <mergeCell ref="C11:D11"/>
    <mergeCell ref="C12:D12"/>
    <mergeCell ref="C13:D13"/>
    <mergeCell ref="C14:D14"/>
    <mergeCell ref="C15:D15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D16" sqref="D16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4.421875" style="0" customWidth="1"/>
    <col min="4" max="4" width="32.421875" style="0" customWidth="1"/>
    <col min="5" max="6" width="11.57421875" style="0" customWidth="1"/>
    <col min="7" max="7" width="4.281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20" t="s">
        <v>255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12.75">
      <c r="A2" s="83" t="s">
        <v>0</v>
      </c>
      <c r="B2" s="84"/>
      <c r="C2" s="87" t="s">
        <v>72</v>
      </c>
      <c r="D2" s="88"/>
      <c r="E2" s="121" t="s">
        <v>132</v>
      </c>
      <c r="F2" s="84"/>
      <c r="G2" s="121" t="s">
        <v>5</v>
      </c>
      <c r="H2" s="84"/>
      <c r="I2" s="90" t="s">
        <v>163</v>
      </c>
      <c r="J2" s="121" t="s">
        <v>169</v>
      </c>
      <c r="K2" s="84"/>
      <c r="L2" s="84"/>
      <c r="M2" s="127"/>
      <c r="N2" s="5"/>
    </row>
    <row r="3" spans="1:14" ht="12.75">
      <c r="A3" s="85"/>
      <c r="B3" s="86"/>
      <c r="C3" s="89"/>
      <c r="D3" s="89"/>
      <c r="E3" s="86"/>
      <c r="F3" s="86"/>
      <c r="G3" s="86"/>
      <c r="H3" s="86"/>
      <c r="I3" s="86"/>
      <c r="J3" s="86"/>
      <c r="K3" s="86"/>
      <c r="L3" s="86"/>
      <c r="M3" s="92"/>
      <c r="N3" s="5"/>
    </row>
    <row r="4" spans="1:14" ht="12.75">
      <c r="A4" s="93" t="s">
        <v>1</v>
      </c>
      <c r="B4" s="86"/>
      <c r="C4" s="94" t="s">
        <v>73</v>
      </c>
      <c r="D4" s="86"/>
      <c r="E4" s="96" t="s">
        <v>133</v>
      </c>
      <c r="F4" s="86"/>
      <c r="G4" s="96" t="s">
        <v>5</v>
      </c>
      <c r="H4" s="86"/>
      <c r="I4" s="94" t="s">
        <v>164</v>
      </c>
      <c r="J4" s="96" t="s">
        <v>169</v>
      </c>
      <c r="K4" s="86"/>
      <c r="L4" s="86"/>
      <c r="M4" s="92"/>
      <c r="N4" s="5"/>
    </row>
    <row r="5" spans="1:14" ht="12.75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92"/>
      <c r="N5" s="5"/>
    </row>
    <row r="6" spans="1:14" ht="12.75">
      <c r="A6" s="93" t="s">
        <v>2</v>
      </c>
      <c r="B6" s="86"/>
      <c r="C6" s="94" t="s">
        <v>74</v>
      </c>
      <c r="D6" s="86"/>
      <c r="E6" s="96" t="s">
        <v>134</v>
      </c>
      <c r="F6" s="86"/>
      <c r="G6" s="96" t="s">
        <v>5</v>
      </c>
      <c r="H6" s="86"/>
      <c r="I6" s="94" t="s">
        <v>165</v>
      </c>
      <c r="J6" s="96" t="s">
        <v>169</v>
      </c>
      <c r="K6" s="86"/>
      <c r="L6" s="86"/>
      <c r="M6" s="92"/>
      <c r="N6" s="5"/>
    </row>
    <row r="7" spans="1:14" ht="12.7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92"/>
      <c r="N7" s="5"/>
    </row>
    <row r="8" spans="1:14" ht="12.75">
      <c r="A8" s="93" t="s">
        <v>3</v>
      </c>
      <c r="B8" s="86"/>
      <c r="C8" s="94">
        <v>8011</v>
      </c>
      <c r="D8" s="86"/>
      <c r="E8" s="96" t="s">
        <v>135</v>
      </c>
      <c r="F8" s="86"/>
      <c r="G8" s="96" t="s">
        <v>155</v>
      </c>
      <c r="H8" s="86"/>
      <c r="I8" s="94" t="s">
        <v>166</v>
      </c>
      <c r="J8" s="94" t="s">
        <v>170</v>
      </c>
      <c r="K8" s="86"/>
      <c r="L8" s="86"/>
      <c r="M8" s="92"/>
      <c r="N8" s="5"/>
    </row>
    <row r="9" spans="1:14" ht="12.75">
      <c r="A9" s="12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5"/>
    </row>
    <row r="10" spans="1:64" ht="12.75">
      <c r="A10" s="1" t="s">
        <v>4</v>
      </c>
      <c r="B10" s="11" t="s">
        <v>37</v>
      </c>
      <c r="C10" s="128" t="s">
        <v>75</v>
      </c>
      <c r="D10" s="129"/>
      <c r="E10" s="129"/>
      <c r="F10" s="130"/>
      <c r="G10" s="11" t="s">
        <v>156</v>
      </c>
      <c r="H10" s="25" t="s">
        <v>162</v>
      </c>
      <c r="I10" s="28" t="s">
        <v>167</v>
      </c>
      <c r="J10" s="131" t="s">
        <v>171</v>
      </c>
      <c r="K10" s="132"/>
      <c r="L10" s="133"/>
      <c r="M10" s="33" t="s">
        <v>176</v>
      </c>
      <c r="N10" s="41"/>
      <c r="BK10" s="42" t="s">
        <v>201</v>
      </c>
      <c r="BL10" s="47" t="s">
        <v>204</v>
      </c>
    </row>
    <row r="11" spans="1:62" ht="12.75">
      <c r="A11" s="2" t="s">
        <v>5</v>
      </c>
      <c r="B11" s="12" t="s">
        <v>5</v>
      </c>
      <c r="C11" s="134" t="s">
        <v>76</v>
      </c>
      <c r="D11" s="135"/>
      <c r="E11" s="135"/>
      <c r="F11" s="136"/>
      <c r="G11" s="12" t="s">
        <v>5</v>
      </c>
      <c r="H11" s="12" t="s">
        <v>5</v>
      </c>
      <c r="I11" s="29" t="s">
        <v>168</v>
      </c>
      <c r="J11" s="30" t="s">
        <v>172</v>
      </c>
      <c r="K11" s="31" t="s">
        <v>174</v>
      </c>
      <c r="L11" s="32" t="s">
        <v>175</v>
      </c>
      <c r="M11" s="34" t="s">
        <v>177</v>
      </c>
      <c r="N11" s="41"/>
      <c r="Z11" s="42" t="s">
        <v>179</v>
      </c>
      <c r="AA11" s="42" t="s">
        <v>180</v>
      </c>
      <c r="AB11" s="42" t="s">
        <v>181</v>
      </c>
      <c r="AC11" s="42" t="s">
        <v>182</v>
      </c>
      <c r="AD11" s="42" t="s">
        <v>183</v>
      </c>
      <c r="AE11" s="42" t="s">
        <v>184</v>
      </c>
      <c r="AF11" s="42" t="s">
        <v>185</v>
      </c>
      <c r="AG11" s="42" t="s">
        <v>186</v>
      </c>
      <c r="AH11" s="42" t="s">
        <v>187</v>
      </c>
      <c r="BH11" s="42" t="s">
        <v>198</v>
      </c>
      <c r="BI11" s="42" t="s">
        <v>199</v>
      </c>
      <c r="BJ11" s="42" t="s">
        <v>200</v>
      </c>
    </row>
    <row r="12" spans="1:47" ht="12.75">
      <c r="A12" s="3"/>
      <c r="B12" s="13" t="s">
        <v>38</v>
      </c>
      <c r="C12" s="137" t="s">
        <v>77</v>
      </c>
      <c r="D12" s="138"/>
      <c r="E12" s="138"/>
      <c r="F12" s="138"/>
      <c r="G12" s="23" t="s">
        <v>5</v>
      </c>
      <c r="H12" s="23" t="s">
        <v>5</v>
      </c>
      <c r="I12" s="23" t="s">
        <v>5</v>
      </c>
      <c r="J12" s="48">
        <f>SUM(J13:J29)</f>
        <v>0</v>
      </c>
      <c r="K12" s="48">
        <f>SUM(K13:K29)</f>
        <v>0</v>
      </c>
      <c r="L12" s="48">
        <f>SUM(L13:L29)</f>
        <v>0</v>
      </c>
      <c r="M12" s="35"/>
      <c r="N12" s="5"/>
      <c r="AI12" s="42"/>
      <c r="AS12" s="49">
        <f>SUM(AJ13:AJ29)</f>
        <v>0</v>
      </c>
      <c r="AT12" s="49">
        <f>SUM(AK13:AK29)</f>
        <v>0</v>
      </c>
      <c r="AU12" s="49">
        <f>SUM(AL13:AL29)</f>
        <v>0</v>
      </c>
    </row>
    <row r="13" spans="1:64" ht="12.75">
      <c r="A13" s="4" t="s">
        <v>6</v>
      </c>
      <c r="B13" s="14" t="s">
        <v>39</v>
      </c>
      <c r="C13" s="139" t="s">
        <v>78</v>
      </c>
      <c r="D13" s="140"/>
      <c r="E13" s="140"/>
      <c r="F13" s="140"/>
      <c r="G13" s="14" t="s">
        <v>157</v>
      </c>
      <c r="H13" s="77">
        <v>460.01</v>
      </c>
      <c r="I13" s="26">
        <v>0</v>
      </c>
      <c r="J13" s="26">
        <f>H13*AO13</f>
        <v>0</v>
      </c>
      <c r="K13" s="26">
        <f>H13*AP13</f>
        <v>0</v>
      </c>
      <c r="L13" s="26">
        <f>H13*I13</f>
        <v>0</v>
      </c>
      <c r="M13" s="36" t="s">
        <v>178</v>
      </c>
      <c r="N13" s="5"/>
      <c r="Z13" s="43">
        <f>IF(AQ13="5",BJ13,0)</f>
        <v>0</v>
      </c>
      <c r="AB13" s="43">
        <f>IF(AQ13="1",BH13,0)</f>
        <v>0</v>
      </c>
      <c r="AC13" s="43">
        <f>IF(AQ13="1",BI13,0)</f>
        <v>0</v>
      </c>
      <c r="AD13" s="43">
        <f>IF(AQ13="7",BH13,0)</f>
        <v>0</v>
      </c>
      <c r="AE13" s="43">
        <f>IF(AQ13="7",BI13,0)</f>
        <v>0</v>
      </c>
      <c r="AF13" s="43">
        <f>IF(AQ13="2",BH13,0)</f>
        <v>0</v>
      </c>
      <c r="AG13" s="43">
        <f>IF(AQ13="2",BI13,0)</f>
        <v>0</v>
      </c>
      <c r="AH13" s="43">
        <f>IF(AQ13="0",BJ13,0)</f>
        <v>0</v>
      </c>
      <c r="AI13" s="42"/>
      <c r="AJ13" s="26">
        <f>IF(AN13=0,L13,0)</f>
        <v>0</v>
      </c>
      <c r="AK13" s="26">
        <f>IF(AN13=15,L13,0)</f>
        <v>0</v>
      </c>
      <c r="AL13" s="26">
        <f>IF(AN13=21,L13,0)</f>
        <v>0</v>
      </c>
      <c r="AN13" s="43">
        <v>21</v>
      </c>
      <c r="AO13" s="43">
        <f>I13*0</f>
        <v>0</v>
      </c>
      <c r="AP13" s="43">
        <f>I13*(1-0)</f>
        <v>0</v>
      </c>
      <c r="AQ13" s="44" t="s">
        <v>12</v>
      </c>
      <c r="AV13" s="43">
        <f>AW13+AX13</f>
        <v>0</v>
      </c>
      <c r="AW13" s="43">
        <f>H13*AO13</f>
        <v>0</v>
      </c>
      <c r="AX13" s="43">
        <f>H13*AP13</f>
        <v>0</v>
      </c>
      <c r="AY13" s="46" t="s">
        <v>188</v>
      </c>
      <c r="AZ13" s="46" t="s">
        <v>193</v>
      </c>
      <c r="BA13" s="42" t="s">
        <v>197</v>
      </c>
      <c r="BC13" s="43">
        <f>AW13+AX13</f>
        <v>0</v>
      </c>
      <c r="BD13" s="43">
        <f>I13/(100-BE13)*100</f>
        <v>0</v>
      </c>
      <c r="BE13" s="43">
        <v>0</v>
      </c>
      <c r="BF13" s="43">
        <f>13</f>
        <v>13</v>
      </c>
      <c r="BH13" s="26">
        <f>H13*AO13</f>
        <v>0</v>
      </c>
      <c r="BI13" s="26">
        <f>H13*AP13</f>
        <v>0</v>
      </c>
      <c r="BJ13" s="26">
        <f>H13*I13</f>
        <v>0</v>
      </c>
      <c r="BK13" s="26" t="s">
        <v>202</v>
      </c>
      <c r="BL13" s="43">
        <v>712</v>
      </c>
    </row>
    <row r="14" spans="1:14" ht="12.75">
      <c r="A14" s="5"/>
      <c r="C14" s="18" t="s">
        <v>79</v>
      </c>
      <c r="F14" s="21" t="s">
        <v>136</v>
      </c>
      <c r="H14" s="78">
        <v>448.95</v>
      </c>
      <c r="M14" s="37"/>
      <c r="N14" s="5"/>
    </row>
    <row r="15" spans="1:14" ht="12.75">
      <c r="A15" s="5"/>
      <c r="C15" s="18" t="s">
        <v>80</v>
      </c>
      <c r="F15" s="21" t="s">
        <v>137</v>
      </c>
      <c r="H15" s="78">
        <v>7.86</v>
      </c>
      <c r="M15" s="37"/>
      <c r="N15" s="5"/>
    </row>
    <row r="16" spans="1:14" ht="12.75">
      <c r="A16" s="5"/>
      <c r="C16" s="18" t="s">
        <v>81</v>
      </c>
      <c r="F16" s="21" t="s">
        <v>138</v>
      </c>
      <c r="H16" s="78">
        <v>3.2</v>
      </c>
      <c r="M16" s="37"/>
      <c r="N16" s="5"/>
    </row>
    <row r="17" spans="1:64" ht="12.75">
      <c r="A17" s="4" t="s">
        <v>7</v>
      </c>
      <c r="B17" s="14" t="s">
        <v>40</v>
      </c>
      <c r="C17" s="139" t="s">
        <v>82</v>
      </c>
      <c r="D17" s="140"/>
      <c r="E17" s="140"/>
      <c r="F17" s="140"/>
      <c r="G17" s="14" t="s">
        <v>157</v>
      </c>
      <c r="H17" s="77">
        <v>460.01</v>
      </c>
      <c r="I17" s="26">
        <v>0</v>
      </c>
      <c r="J17" s="26">
        <f>H17*AO17</f>
        <v>0</v>
      </c>
      <c r="K17" s="26">
        <f>H17*AP17</f>
        <v>0</v>
      </c>
      <c r="L17" s="26">
        <f>H17*I17</f>
        <v>0</v>
      </c>
      <c r="M17" s="36" t="s">
        <v>178</v>
      </c>
      <c r="N17" s="5"/>
      <c r="Z17" s="43">
        <f>IF(AQ17="5",BJ17,0)</f>
        <v>0</v>
      </c>
      <c r="AB17" s="43">
        <f>IF(AQ17="1",BH17,0)</f>
        <v>0</v>
      </c>
      <c r="AC17" s="43">
        <f>IF(AQ17="1",BI17,0)</f>
        <v>0</v>
      </c>
      <c r="AD17" s="43">
        <f>IF(AQ17="7",BH17,0)</f>
        <v>0</v>
      </c>
      <c r="AE17" s="43">
        <f>IF(AQ17="7",BI17,0)</f>
        <v>0</v>
      </c>
      <c r="AF17" s="43">
        <f>IF(AQ17="2",BH17,0)</f>
        <v>0</v>
      </c>
      <c r="AG17" s="43">
        <f>IF(AQ17="2",BI17,0)</f>
        <v>0</v>
      </c>
      <c r="AH17" s="43">
        <f>IF(AQ17="0",BJ17,0)</f>
        <v>0</v>
      </c>
      <c r="AI17" s="42"/>
      <c r="AJ17" s="26">
        <f>IF(AN17=0,L17,0)</f>
        <v>0</v>
      </c>
      <c r="AK17" s="26">
        <f>IF(AN17=15,L17,0)</f>
        <v>0</v>
      </c>
      <c r="AL17" s="26">
        <f>IF(AN17=21,L17,0)</f>
        <v>0</v>
      </c>
      <c r="AN17" s="43">
        <v>21</v>
      </c>
      <c r="AO17" s="43">
        <f>I17*0.615506828109368</f>
        <v>0</v>
      </c>
      <c r="AP17" s="43">
        <f>I17*(1-0.615506828109368)</f>
        <v>0</v>
      </c>
      <c r="AQ17" s="44" t="s">
        <v>12</v>
      </c>
      <c r="AV17" s="43">
        <f>AW17+AX17</f>
        <v>0</v>
      </c>
      <c r="AW17" s="43">
        <f>H17*AO17</f>
        <v>0</v>
      </c>
      <c r="AX17" s="43">
        <f>H17*AP17</f>
        <v>0</v>
      </c>
      <c r="AY17" s="46" t="s">
        <v>188</v>
      </c>
      <c r="AZ17" s="46" t="s">
        <v>193</v>
      </c>
      <c r="BA17" s="42" t="s">
        <v>197</v>
      </c>
      <c r="BC17" s="43">
        <f>AW17+AX17</f>
        <v>0</v>
      </c>
      <c r="BD17" s="43">
        <f>I17/(100-BE17)*100</f>
        <v>0</v>
      </c>
      <c r="BE17" s="43">
        <v>0</v>
      </c>
      <c r="BF17" s="43">
        <f>17</f>
        <v>17</v>
      </c>
      <c r="BH17" s="26">
        <f>H17*AO17</f>
        <v>0</v>
      </c>
      <c r="BI17" s="26">
        <f>H17*AP17</f>
        <v>0</v>
      </c>
      <c r="BJ17" s="26">
        <f>H17*I17</f>
        <v>0</v>
      </c>
      <c r="BK17" s="26" t="s">
        <v>202</v>
      </c>
      <c r="BL17" s="43">
        <v>712</v>
      </c>
    </row>
    <row r="18" spans="1:14" ht="12.75">
      <c r="A18" s="5"/>
      <c r="C18" s="18" t="s">
        <v>79</v>
      </c>
      <c r="F18" s="21" t="s">
        <v>136</v>
      </c>
      <c r="H18" s="78">
        <v>448.95</v>
      </c>
      <c r="M18" s="37"/>
      <c r="N18" s="5"/>
    </row>
    <row r="19" spans="1:14" ht="12.75">
      <c r="A19" s="5"/>
      <c r="C19" s="18" t="s">
        <v>80</v>
      </c>
      <c r="F19" s="21" t="s">
        <v>137</v>
      </c>
      <c r="H19" s="78">
        <v>7.86</v>
      </c>
      <c r="M19" s="37"/>
      <c r="N19" s="5"/>
    </row>
    <row r="20" spans="1:14" ht="12.75">
      <c r="A20" s="5"/>
      <c r="C20" s="18" t="s">
        <v>81</v>
      </c>
      <c r="F20" s="21" t="s">
        <v>138</v>
      </c>
      <c r="H20" s="78">
        <v>3.2</v>
      </c>
      <c r="M20" s="37"/>
      <c r="N20" s="5"/>
    </row>
    <row r="21" spans="1:64" ht="12.75">
      <c r="A21" s="4" t="s">
        <v>8</v>
      </c>
      <c r="B21" s="14" t="s">
        <v>41</v>
      </c>
      <c r="C21" s="139" t="s">
        <v>83</v>
      </c>
      <c r="D21" s="140"/>
      <c r="E21" s="140"/>
      <c r="F21" s="140"/>
      <c r="G21" s="14" t="s">
        <v>157</v>
      </c>
      <c r="H21" s="77">
        <v>460.01</v>
      </c>
      <c r="I21" s="26">
        <v>0</v>
      </c>
      <c r="J21" s="26">
        <f>H21*AO21</f>
        <v>0</v>
      </c>
      <c r="K21" s="26">
        <f>H21*AP21</f>
        <v>0</v>
      </c>
      <c r="L21" s="26">
        <f>H21*I21</f>
        <v>0</v>
      </c>
      <c r="M21" s="36" t="s">
        <v>178</v>
      </c>
      <c r="N21" s="5"/>
      <c r="Z21" s="43">
        <f>IF(AQ21="5",BJ21,0)</f>
        <v>0</v>
      </c>
      <c r="AB21" s="43">
        <f>IF(AQ21="1",BH21,0)</f>
        <v>0</v>
      </c>
      <c r="AC21" s="43">
        <f>IF(AQ21="1",BI21,0)</f>
        <v>0</v>
      </c>
      <c r="AD21" s="43">
        <f>IF(AQ21="7",BH21,0)</f>
        <v>0</v>
      </c>
      <c r="AE21" s="43">
        <f>IF(AQ21="7",BI21,0)</f>
        <v>0</v>
      </c>
      <c r="AF21" s="43">
        <f>IF(AQ21="2",BH21,0)</f>
        <v>0</v>
      </c>
      <c r="AG21" s="43">
        <f>IF(AQ21="2",BI21,0)</f>
        <v>0</v>
      </c>
      <c r="AH21" s="43">
        <f>IF(AQ21="0",BJ21,0)</f>
        <v>0</v>
      </c>
      <c r="AI21" s="42"/>
      <c r="AJ21" s="26">
        <f>IF(AN21=0,L21,0)</f>
        <v>0</v>
      </c>
      <c r="AK21" s="26">
        <f>IF(AN21=15,L21,0)</f>
        <v>0</v>
      </c>
      <c r="AL21" s="26">
        <f>IF(AN21=21,L21,0)</f>
        <v>0</v>
      </c>
      <c r="AN21" s="43">
        <v>21</v>
      </c>
      <c r="AO21" s="43">
        <f>I21*0.117295695643229</f>
        <v>0</v>
      </c>
      <c r="AP21" s="43">
        <f>I21*(1-0.117295695643229)</f>
        <v>0</v>
      </c>
      <c r="AQ21" s="44" t="s">
        <v>12</v>
      </c>
      <c r="AV21" s="43">
        <f>AW21+AX21</f>
        <v>0</v>
      </c>
      <c r="AW21" s="43">
        <f>H21*AO21</f>
        <v>0</v>
      </c>
      <c r="AX21" s="43">
        <f>H21*AP21</f>
        <v>0</v>
      </c>
      <c r="AY21" s="46" t="s">
        <v>188</v>
      </c>
      <c r="AZ21" s="46" t="s">
        <v>193</v>
      </c>
      <c r="BA21" s="42" t="s">
        <v>197</v>
      </c>
      <c r="BC21" s="43">
        <f>AW21+AX21</f>
        <v>0</v>
      </c>
      <c r="BD21" s="43">
        <f>I21/(100-BE21)*100</f>
        <v>0</v>
      </c>
      <c r="BE21" s="43">
        <v>0</v>
      </c>
      <c r="BF21" s="43">
        <f>21</f>
        <v>21</v>
      </c>
      <c r="BH21" s="26">
        <f>H21*AO21</f>
        <v>0</v>
      </c>
      <c r="BI21" s="26">
        <f>H21*AP21</f>
        <v>0</v>
      </c>
      <c r="BJ21" s="26">
        <f>H21*I21</f>
        <v>0</v>
      </c>
      <c r="BK21" s="26" t="s">
        <v>202</v>
      </c>
      <c r="BL21" s="43">
        <v>712</v>
      </c>
    </row>
    <row r="22" spans="1:14" ht="12.75">
      <c r="A22" s="5"/>
      <c r="C22" s="18" t="s">
        <v>79</v>
      </c>
      <c r="F22" s="21" t="s">
        <v>136</v>
      </c>
      <c r="H22" s="78">
        <v>448.95</v>
      </c>
      <c r="M22" s="37"/>
      <c r="N22" s="5"/>
    </row>
    <row r="23" spans="1:14" ht="12.75">
      <c r="A23" s="5"/>
      <c r="C23" s="18" t="s">
        <v>80</v>
      </c>
      <c r="F23" s="21" t="s">
        <v>137</v>
      </c>
      <c r="H23" s="78">
        <v>7.86</v>
      </c>
      <c r="M23" s="37"/>
      <c r="N23" s="5"/>
    </row>
    <row r="24" spans="1:14" ht="12.75">
      <c r="A24" s="5"/>
      <c r="C24" s="18" t="s">
        <v>81</v>
      </c>
      <c r="F24" s="21" t="s">
        <v>138</v>
      </c>
      <c r="H24" s="78">
        <v>3.2</v>
      </c>
      <c r="M24" s="37"/>
      <c r="N24" s="5"/>
    </row>
    <row r="25" spans="1:64" ht="12.75">
      <c r="A25" s="6" t="s">
        <v>9</v>
      </c>
      <c r="B25" s="15" t="s">
        <v>42</v>
      </c>
      <c r="C25" s="141" t="s">
        <v>84</v>
      </c>
      <c r="D25" s="142"/>
      <c r="E25" s="142"/>
      <c r="F25" s="142"/>
      <c r="G25" s="15" t="s">
        <v>157</v>
      </c>
      <c r="H25" s="79">
        <v>529.012</v>
      </c>
      <c r="I25" s="27">
        <v>0</v>
      </c>
      <c r="J25" s="27">
        <f>H25*AO25</f>
        <v>0</v>
      </c>
      <c r="K25" s="27">
        <f>H25*AP25</f>
        <v>0</v>
      </c>
      <c r="L25" s="27">
        <f>H25*I25</f>
        <v>0</v>
      </c>
      <c r="M25" s="38" t="s">
        <v>178</v>
      </c>
      <c r="N25" s="5"/>
      <c r="Z25" s="43">
        <f>IF(AQ25="5",BJ25,0)</f>
        <v>0</v>
      </c>
      <c r="AB25" s="43">
        <f>IF(AQ25="1",BH25,0)</f>
        <v>0</v>
      </c>
      <c r="AC25" s="43">
        <f>IF(AQ25="1",BI25,0)</f>
        <v>0</v>
      </c>
      <c r="AD25" s="43">
        <f>IF(AQ25="7",BH25,0)</f>
        <v>0</v>
      </c>
      <c r="AE25" s="43">
        <f>IF(AQ25="7",BI25,0)</f>
        <v>0</v>
      </c>
      <c r="AF25" s="43">
        <f>IF(AQ25="2",BH25,0)</f>
        <v>0</v>
      </c>
      <c r="AG25" s="43">
        <f>IF(AQ25="2",BI25,0)</f>
        <v>0</v>
      </c>
      <c r="AH25" s="43">
        <f>IF(AQ25="0",BJ25,0)</f>
        <v>0</v>
      </c>
      <c r="AI25" s="42"/>
      <c r="AJ25" s="27">
        <f>IF(AN25=0,L25,0)</f>
        <v>0</v>
      </c>
      <c r="AK25" s="27">
        <f>IF(AN25=15,L25,0)</f>
        <v>0</v>
      </c>
      <c r="AL25" s="27">
        <f>IF(AN25=21,L25,0)</f>
        <v>0</v>
      </c>
      <c r="AN25" s="43">
        <v>21</v>
      </c>
      <c r="AO25" s="43">
        <f>I25*1</f>
        <v>0</v>
      </c>
      <c r="AP25" s="43">
        <f>I25*(1-1)</f>
        <v>0</v>
      </c>
      <c r="AQ25" s="45" t="s">
        <v>12</v>
      </c>
      <c r="AV25" s="43">
        <f>AW25+AX25</f>
        <v>0</v>
      </c>
      <c r="AW25" s="43">
        <f>H25*AO25</f>
        <v>0</v>
      </c>
      <c r="AX25" s="43">
        <f>H25*AP25</f>
        <v>0</v>
      </c>
      <c r="AY25" s="46" t="s">
        <v>188</v>
      </c>
      <c r="AZ25" s="46" t="s">
        <v>193</v>
      </c>
      <c r="BA25" s="42" t="s">
        <v>197</v>
      </c>
      <c r="BC25" s="43">
        <f>AW25+AX25</f>
        <v>0</v>
      </c>
      <c r="BD25" s="43">
        <f>I25/(100-BE25)*100</f>
        <v>0</v>
      </c>
      <c r="BE25" s="43">
        <v>0</v>
      </c>
      <c r="BF25" s="43">
        <f>25</f>
        <v>25</v>
      </c>
      <c r="BH25" s="27">
        <f>H25*AO25</f>
        <v>0</v>
      </c>
      <c r="BI25" s="27">
        <f>H25*AP25</f>
        <v>0</v>
      </c>
      <c r="BJ25" s="27">
        <f>H25*I25</f>
        <v>0</v>
      </c>
      <c r="BK25" s="27" t="s">
        <v>203</v>
      </c>
      <c r="BL25" s="43">
        <v>712</v>
      </c>
    </row>
    <row r="26" spans="1:14" ht="12.75">
      <c r="A26" s="5"/>
      <c r="C26" s="18" t="s">
        <v>85</v>
      </c>
      <c r="F26" s="21"/>
      <c r="H26" s="78">
        <v>529.012</v>
      </c>
      <c r="M26" s="37"/>
      <c r="N26" s="5"/>
    </row>
    <row r="27" spans="1:64" ht="12.75">
      <c r="A27" s="6" t="s">
        <v>10</v>
      </c>
      <c r="B27" s="15" t="s">
        <v>43</v>
      </c>
      <c r="C27" s="141" t="s">
        <v>86</v>
      </c>
      <c r="D27" s="142"/>
      <c r="E27" s="142"/>
      <c r="F27" s="142"/>
      <c r="G27" s="15" t="s">
        <v>157</v>
      </c>
      <c r="H27" s="79">
        <v>529.012</v>
      </c>
      <c r="I27" s="27">
        <v>0</v>
      </c>
      <c r="J27" s="27">
        <f>H27*AO27</f>
        <v>0</v>
      </c>
      <c r="K27" s="27">
        <f>H27*AP27</f>
        <v>0</v>
      </c>
      <c r="L27" s="27">
        <f>H27*I27</f>
        <v>0</v>
      </c>
      <c r="M27" s="38" t="s">
        <v>178</v>
      </c>
      <c r="N27" s="5"/>
      <c r="Z27" s="43">
        <f>IF(AQ27="5",BJ27,0)</f>
        <v>0</v>
      </c>
      <c r="AB27" s="43">
        <f>IF(AQ27="1",BH27,0)</f>
        <v>0</v>
      </c>
      <c r="AC27" s="43">
        <f>IF(AQ27="1",BI27,0)</f>
        <v>0</v>
      </c>
      <c r="AD27" s="43">
        <f>IF(AQ27="7",BH27,0)</f>
        <v>0</v>
      </c>
      <c r="AE27" s="43">
        <f>IF(AQ27="7",BI27,0)</f>
        <v>0</v>
      </c>
      <c r="AF27" s="43">
        <f>IF(AQ27="2",BH27,0)</f>
        <v>0</v>
      </c>
      <c r="AG27" s="43">
        <f>IF(AQ27="2",BI27,0)</f>
        <v>0</v>
      </c>
      <c r="AH27" s="43">
        <f>IF(AQ27="0",BJ27,0)</f>
        <v>0</v>
      </c>
      <c r="AI27" s="42"/>
      <c r="AJ27" s="27">
        <f>IF(AN27=0,L27,0)</f>
        <v>0</v>
      </c>
      <c r="AK27" s="27">
        <f>IF(AN27=15,L27,0)</f>
        <v>0</v>
      </c>
      <c r="AL27" s="27">
        <f>IF(AN27=21,L27,0)</f>
        <v>0</v>
      </c>
      <c r="AN27" s="43">
        <v>21</v>
      </c>
      <c r="AO27" s="43">
        <f>I27*1</f>
        <v>0</v>
      </c>
      <c r="AP27" s="43">
        <f>I27*(1-1)</f>
        <v>0</v>
      </c>
      <c r="AQ27" s="45" t="s">
        <v>12</v>
      </c>
      <c r="AV27" s="43">
        <f>AW27+AX27</f>
        <v>0</v>
      </c>
      <c r="AW27" s="43">
        <f>H27*AO27</f>
        <v>0</v>
      </c>
      <c r="AX27" s="43">
        <f>H27*AP27</f>
        <v>0</v>
      </c>
      <c r="AY27" s="46" t="s">
        <v>188</v>
      </c>
      <c r="AZ27" s="46" t="s">
        <v>193</v>
      </c>
      <c r="BA27" s="42" t="s">
        <v>197</v>
      </c>
      <c r="BC27" s="43">
        <f>AW27+AX27</f>
        <v>0</v>
      </c>
      <c r="BD27" s="43">
        <f>I27/(100-BE27)*100</f>
        <v>0</v>
      </c>
      <c r="BE27" s="43">
        <v>0</v>
      </c>
      <c r="BF27" s="43">
        <f>27</f>
        <v>27</v>
      </c>
      <c r="BH27" s="27">
        <f>H27*AO27</f>
        <v>0</v>
      </c>
      <c r="BI27" s="27">
        <f>H27*AP27</f>
        <v>0</v>
      </c>
      <c r="BJ27" s="27">
        <f>H27*I27</f>
        <v>0</v>
      </c>
      <c r="BK27" s="27" t="s">
        <v>203</v>
      </c>
      <c r="BL27" s="43">
        <v>712</v>
      </c>
    </row>
    <row r="28" spans="1:14" ht="12.75">
      <c r="A28" s="5"/>
      <c r="C28" s="18" t="s">
        <v>85</v>
      </c>
      <c r="F28" s="21"/>
      <c r="H28" s="78">
        <v>529.012</v>
      </c>
      <c r="M28" s="37"/>
      <c r="N28" s="5"/>
    </row>
    <row r="29" spans="1:64" ht="12.75">
      <c r="A29" s="4" t="s">
        <v>11</v>
      </c>
      <c r="B29" s="14" t="s">
        <v>44</v>
      </c>
      <c r="C29" s="139" t="s">
        <v>87</v>
      </c>
      <c r="D29" s="140"/>
      <c r="E29" s="140"/>
      <c r="F29" s="140"/>
      <c r="G29" s="14" t="s">
        <v>158</v>
      </c>
      <c r="H29" s="77">
        <v>4.15</v>
      </c>
      <c r="I29" s="26">
        <v>0</v>
      </c>
      <c r="J29" s="26">
        <f>H29*AO29</f>
        <v>0</v>
      </c>
      <c r="K29" s="26">
        <f>H29*AP29</f>
        <v>0</v>
      </c>
      <c r="L29" s="26">
        <f>H29*I29</f>
        <v>0</v>
      </c>
      <c r="M29" s="36" t="s">
        <v>178</v>
      </c>
      <c r="N29" s="5"/>
      <c r="Z29" s="43">
        <f>IF(AQ29="5",BJ29,0)</f>
        <v>0</v>
      </c>
      <c r="AB29" s="43">
        <f>IF(AQ29="1",BH29,0)</f>
        <v>0</v>
      </c>
      <c r="AC29" s="43">
        <f>IF(AQ29="1",BI29,0)</f>
        <v>0</v>
      </c>
      <c r="AD29" s="43">
        <f>IF(AQ29="7",BH29,0)</f>
        <v>0</v>
      </c>
      <c r="AE29" s="43">
        <f>IF(AQ29="7",BI29,0)</f>
        <v>0</v>
      </c>
      <c r="AF29" s="43">
        <f>IF(AQ29="2",BH29,0)</f>
        <v>0</v>
      </c>
      <c r="AG29" s="43">
        <f>IF(AQ29="2",BI29,0)</f>
        <v>0</v>
      </c>
      <c r="AH29" s="43">
        <f>IF(AQ29="0",BJ29,0)</f>
        <v>0</v>
      </c>
      <c r="AI29" s="42"/>
      <c r="AJ29" s="26">
        <f>IF(AN29=0,L29,0)</f>
        <v>0</v>
      </c>
      <c r="AK29" s="26">
        <f>IF(AN29=15,L29,0)</f>
        <v>0</v>
      </c>
      <c r="AL29" s="26">
        <f>IF(AN29=21,L29,0)</f>
        <v>0</v>
      </c>
      <c r="AN29" s="43">
        <v>21</v>
      </c>
      <c r="AO29" s="43">
        <f>I29*0</f>
        <v>0</v>
      </c>
      <c r="AP29" s="43">
        <f>I29*(1-0)</f>
        <v>0</v>
      </c>
      <c r="AQ29" s="44" t="s">
        <v>10</v>
      </c>
      <c r="AV29" s="43">
        <f>AW29+AX29</f>
        <v>0</v>
      </c>
      <c r="AW29" s="43">
        <f>H29*AO29</f>
        <v>0</v>
      </c>
      <c r="AX29" s="43">
        <f>H29*AP29</f>
        <v>0</v>
      </c>
      <c r="AY29" s="46" t="s">
        <v>188</v>
      </c>
      <c r="AZ29" s="46" t="s">
        <v>193</v>
      </c>
      <c r="BA29" s="42" t="s">
        <v>197</v>
      </c>
      <c r="BC29" s="43">
        <f>AW29+AX29</f>
        <v>0</v>
      </c>
      <c r="BD29" s="43">
        <f>I29/(100-BE29)*100</f>
        <v>0</v>
      </c>
      <c r="BE29" s="43">
        <v>0</v>
      </c>
      <c r="BF29" s="43">
        <f>29</f>
        <v>29</v>
      </c>
      <c r="BH29" s="26">
        <f>H29*AO29</f>
        <v>0</v>
      </c>
      <c r="BI29" s="26">
        <f>H29*AP29</f>
        <v>0</v>
      </c>
      <c r="BJ29" s="26">
        <f>H29*I29</f>
        <v>0</v>
      </c>
      <c r="BK29" s="26" t="s">
        <v>202</v>
      </c>
      <c r="BL29" s="43">
        <v>712</v>
      </c>
    </row>
    <row r="30" spans="1:47" ht="12.75">
      <c r="A30" s="7"/>
      <c r="B30" s="16" t="s">
        <v>45</v>
      </c>
      <c r="C30" s="143" t="s">
        <v>88</v>
      </c>
      <c r="D30" s="144"/>
      <c r="E30" s="144"/>
      <c r="F30" s="144"/>
      <c r="G30" s="24" t="s">
        <v>5</v>
      </c>
      <c r="H30" s="24" t="s">
        <v>5</v>
      </c>
      <c r="I30" s="24" t="s">
        <v>5</v>
      </c>
      <c r="J30" s="49">
        <f>SUM(J31:J57)</f>
        <v>0</v>
      </c>
      <c r="K30" s="49">
        <f>SUM(K31:K57)</f>
        <v>0</v>
      </c>
      <c r="L30" s="49">
        <f>SUM(L31:L57)</f>
        <v>0</v>
      </c>
      <c r="M30" s="39"/>
      <c r="N30" s="5"/>
      <c r="AI30" s="42"/>
      <c r="AS30" s="49">
        <f>SUM(AJ31:AJ57)</f>
        <v>0</v>
      </c>
      <c r="AT30" s="49">
        <f>SUM(AK31:AK57)</f>
        <v>0</v>
      </c>
      <c r="AU30" s="49">
        <f>SUM(AL31:AL57)</f>
        <v>0</v>
      </c>
    </row>
    <row r="31" spans="1:64" ht="12.75">
      <c r="A31" s="4" t="s">
        <v>12</v>
      </c>
      <c r="B31" s="14" t="s">
        <v>46</v>
      </c>
      <c r="C31" s="139" t="s">
        <v>89</v>
      </c>
      <c r="D31" s="140"/>
      <c r="E31" s="140"/>
      <c r="F31" s="140"/>
      <c r="G31" s="14" t="s">
        <v>159</v>
      </c>
      <c r="H31" s="77">
        <v>12.1</v>
      </c>
      <c r="I31" s="26">
        <v>0</v>
      </c>
      <c r="J31" s="26">
        <f>H31*AO31</f>
        <v>0</v>
      </c>
      <c r="K31" s="26">
        <f>H31*AP31</f>
        <v>0</v>
      </c>
      <c r="L31" s="26">
        <f>H31*I31</f>
        <v>0</v>
      </c>
      <c r="M31" s="36" t="s">
        <v>178</v>
      </c>
      <c r="N31" s="5"/>
      <c r="Z31" s="43">
        <f>IF(AQ31="5",BJ31,0)</f>
        <v>0</v>
      </c>
      <c r="AB31" s="43">
        <f>IF(AQ31="1",BH31,0)</f>
        <v>0</v>
      </c>
      <c r="AC31" s="43">
        <f>IF(AQ31="1",BI31,0)</f>
        <v>0</v>
      </c>
      <c r="AD31" s="43">
        <f>IF(AQ31="7",BH31,0)</f>
        <v>0</v>
      </c>
      <c r="AE31" s="43">
        <f>IF(AQ31="7",BI31,0)</f>
        <v>0</v>
      </c>
      <c r="AF31" s="43">
        <f>IF(AQ31="2",BH31,0)</f>
        <v>0</v>
      </c>
      <c r="AG31" s="43">
        <f>IF(AQ31="2",BI31,0)</f>
        <v>0</v>
      </c>
      <c r="AH31" s="43">
        <f>IF(AQ31="0",BJ31,0)</f>
        <v>0</v>
      </c>
      <c r="AI31" s="42"/>
      <c r="AJ31" s="26">
        <f>IF(AN31=0,L31,0)</f>
        <v>0</v>
      </c>
      <c r="AK31" s="26">
        <f>IF(AN31=15,L31,0)</f>
        <v>0</v>
      </c>
      <c r="AL31" s="26">
        <f>IF(AN31=21,L31,0)</f>
        <v>0</v>
      </c>
      <c r="AN31" s="43">
        <v>21</v>
      </c>
      <c r="AO31" s="43">
        <f>I31*0</f>
        <v>0</v>
      </c>
      <c r="AP31" s="43">
        <f>I31*(1-0)</f>
        <v>0</v>
      </c>
      <c r="AQ31" s="44" t="s">
        <v>12</v>
      </c>
      <c r="AV31" s="43">
        <f>AW31+AX31</f>
        <v>0</v>
      </c>
      <c r="AW31" s="43">
        <f>H31*AO31</f>
        <v>0</v>
      </c>
      <c r="AX31" s="43">
        <f>H31*AP31</f>
        <v>0</v>
      </c>
      <c r="AY31" s="46" t="s">
        <v>189</v>
      </c>
      <c r="AZ31" s="46" t="s">
        <v>194</v>
      </c>
      <c r="BA31" s="42" t="s">
        <v>197</v>
      </c>
      <c r="BC31" s="43">
        <f>AW31+AX31</f>
        <v>0</v>
      </c>
      <c r="BD31" s="43">
        <f>I31/(100-BE31)*100</f>
        <v>0</v>
      </c>
      <c r="BE31" s="43">
        <v>0</v>
      </c>
      <c r="BF31" s="43">
        <f>31</f>
        <v>31</v>
      </c>
      <c r="BH31" s="26">
        <f>H31*AO31</f>
        <v>0</v>
      </c>
      <c r="BI31" s="26">
        <f>H31*AP31</f>
        <v>0</v>
      </c>
      <c r="BJ31" s="26">
        <f>H31*I31</f>
        <v>0</v>
      </c>
      <c r="BK31" s="26" t="s">
        <v>202</v>
      </c>
      <c r="BL31" s="43">
        <v>764</v>
      </c>
    </row>
    <row r="32" spans="1:14" ht="12.75">
      <c r="A32" s="5"/>
      <c r="C32" s="18" t="s">
        <v>90</v>
      </c>
      <c r="F32" s="21" t="s">
        <v>139</v>
      </c>
      <c r="H32" s="78">
        <v>12.1</v>
      </c>
      <c r="M32" s="37"/>
      <c r="N32" s="5"/>
    </row>
    <row r="33" spans="1:64" ht="12.75">
      <c r="A33" s="4" t="s">
        <v>13</v>
      </c>
      <c r="B33" s="14" t="s">
        <v>47</v>
      </c>
      <c r="C33" s="139" t="s">
        <v>91</v>
      </c>
      <c r="D33" s="140"/>
      <c r="E33" s="140"/>
      <c r="F33" s="140"/>
      <c r="G33" s="14" t="s">
        <v>159</v>
      </c>
      <c r="H33" s="77">
        <v>88</v>
      </c>
      <c r="I33" s="26">
        <v>0</v>
      </c>
      <c r="J33" s="26">
        <f>H33*AO33</f>
        <v>0</v>
      </c>
      <c r="K33" s="26">
        <f>H33*AP33</f>
        <v>0</v>
      </c>
      <c r="L33" s="26">
        <f>H33*I33</f>
        <v>0</v>
      </c>
      <c r="M33" s="36" t="s">
        <v>178</v>
      </c>
      <c r="N33" s="5"/>
      <c r="Z33" s="43">
        <f>IF(AQ33="5",BJ33,0)</f>
        <v>0</v>
      </c>
      <c r="AB33" s="43">
        <f>IF(AQ33="1",BH33,0)</f>
        <v>0</v>
      </c>
      <c r="AC33" s="43">
        <f>IF(AQ33="1",BI33,0)</f>
        <v>0</v>
      </c>
      <c r="AD33" s="43">
        <f>IF(AQ33="7",BH33,0)</f>
        <v>0</v>
      </c>
      <c r="AE33" s="43">
        <f>IF(AQ33="7",BI33,0)</f>
        <v>0</v>
      </c>
      <c r="AF33" s="43">
        <f>IF(AQ33="2",BH33,0)</f>
        <v>0</v>
      </c>
      <c r="AG33" s="43">
        <f>IF(AQ33="2",BI33,0)</f>
        <v>0</v>
      </c>
      <c r="AH33" s="43">
        <f>IF(AQ33="0",BJ33,0)</f>
        <v>0</v>
      </c>
      <c r="AI33" s="42"/>
      <c r="AJ33" s="26">
        <f>IF(AN33=0,L33,0)</f>
        <v>0</v>
      </c>
      <c r="AK33" s="26">
        <f>IF(AN33=15,L33,0)</f>
        <v>0</v>
      </c>
      <c r="AL33" s="26">
        <f>IF(AN33=21,L33,0)</f>
        <v>0</v>
      </c>
      <c r="AN33" s="43">
        <v>21</v>
      </c>
      <c r="AO33" s="43">
        <f>I33*0</f>
        <v>0</v>
      </c>
      <c r="AP33" s="43">
        <f>I33*(1-0)</f>
        <v>0</v>
      </c>
      <c r="AQ33" s="44" t="s">
        <v>12</v>
      </c>
      <c r="AV33" s="43">
        <f>AW33+AX33</f>
        <v>0</v>
      </c>
      <c r="AW33" s="43">
        <f>H33*AO33</f>
        <v>0</v>
      </c>
      <c r="AX33" s="43">
        <f>H33*AP33</f>
        <v>0</v>
      </c>
      <c r="AY33" s="46" t="s">
        <v>189</v>
      </c>
      <c r="AZ33" s="46" t="s">
        <v>194</v>
      </c>
      <c r="BA33" s="42" t="s">
        <v>197</v>
      </c>
      <c r="BC33" s="43">
        <f>AW33+AX33</f>
        <v>0</v>
      </c>
      <c r="BD33" s="43">
        <f>I33/(100-BE33)*100</f>
        <v>0</v>
      </c>
      <c r="BE33" s="43">
        <v>0</v>
      </c>
      <c r="BF33" s="43">
        <f>33</f>
        <v>33</v>
      </c>
      <c r="BH33" s="26">
        <f>H33*AO33</f>
        <v>0</v>
      </c>
      <c r="BI33" s="26">
        <f>H33*AP33</f>
        <v>0</v>
      </c>
      <c r="BJ33" s="26">
        <f>H33*I33</f>
        <v>0</v>
      </c>
      <c r="BK33" s="26" t="s">
        <v>202</v>
      </c>
      <c r="BL33" s="43">
        <v>764</v>
      </c>
    </row>
    <row r="34" spans="1:14" ht="12.75">
      <c r="A34" s="5"/>
      <c r="C34" s="18" t="s">
        <v>92</v>
      </c>
      <c r="F34" s="21" t="s">
        <v>140</v>
      </c>
      <c r="H34" s="78">
        <v>88</v>
      </c>
      <c r="M34" s="37"/>
      <c r="N34" s="5"/>
    </row>
    <row r="35" spans="1:64" ht="12.75">
      <c r="A35" s="4" t="s">
        <v>14</v>
      </c>
      <c r="B35" s="14" t="s">
        <v>48</v>
      </c>
      <c r="C35" s="139" t="s">
        <v>93</v>
      </c>
      <c r="D35" s="140"/>
      <c r="E35" s="140"/>
      <c r="F35" s="140"/>
      <c r="G35" s="14" t="s">
        <v>159</v>
      </c>
      <c r="H35" s="77">
        <v>16</v>
      </c>
      <c r="I35" s="26">
        <v>0</v>
      </c>
      <c r="J35" s="26">
        <f>H35*AO35</f>
        <v>0</v>
      </c>
      <c r="K35" s="26">
        <f>H35*AP35</f>
        <v>0</v>
      </c>
      <c r="L35" s="26">
        <f>H35*I35</f>
        <v>0</v>
      </c>
      <c r="M35" s="36" t="s">
        <v>178</v>
      </c>
      <c r="N35" s="5"/>
      <c r="Z35" s="43">
        <f>IF(AQ35="5",BJ35,0)</f>
        <v>0</v>
      </c>
      <c r="AB35" s="43">
        <f>IF(AQ35="1",BH35,0)</f>
        <v>0</v>
      </c>
      <c r="AC35" s="43">
        <f>IF(AQ35="1",BI35,0)</f>
        <v>0</v>
      </c>
      <c r="AD35" s="43">
        <f>IF(AQ35="7",BH35,0)</f>
        <v>0</v>
      </c>
      <c r="AE35" s="43">
        <f>IF(AQ35="7",BI35,0)</f>
        <v>0</v>
      </c>
      <c r="AF35" s="43">
        <f>IF(AQ35="2",BH35,0)</f>
        <v>0</v>
      </c>
      <c r="AG35" s="43">
        <f>IF(AQ35="2",BI35,0)</f>
        <v>0</v>
      </c>
      <c r="AH35" s="43">
        <f>IF(AQ35="0",BJ35,0)</f>
        <v>0</v>
      </c>
      <c r="AI35" s="42"/>
      <c r="AJ35" s="26">
        <f>IF(AN35=0,L35,0)</f>
        <v>0</v>
      </c>
      <c r="AK35" s="26">
        <f>IF(AN35=15,L35,0)</f>
        <v>0</v>
      </c>
      <c r="AL35" s="26">
        <f>IF(AN35=21,L35,0)</f>
        <v>0</v>
      </c>
      <c r="AN35" s="43">
        <v>21</v>
      </c>
      <c r="AO35" s="43">
        <f>I35*0</f>
        <v>0</v>
      </c>
      <c r="AP35" s="43">
        <f>I35*(1-0)</f>
        <v>0</v>
      </c>
      <c r="AQ35" s="44" t="s">
        <v>12</v>
      </c>
      <c r="AV35" s="43">
        <f>AW35+AX35</f>
        <v>0</v>
      </c>
      <c r="AW35" s="43">
        <f>H35*AO35</f>
        <v>0</v>
      </c>
      <c r="AX35" s="43">
        <f>H35*AP35</f>
        <v>0</v>
      </c>
      <c r="AY35" s="46" t="s">
        <v>189</v>
      </c>
      <c r="AZ35" s="46" t="s">
        <v>194</v>
      </c>
      <c r="BA35" s="42" t="s">
        <v>197</v>
      </c>
      <c r="BC35" s="43">
        <f>AW35+AX35</f>
        <v>0</v>
      </c>
      <c r="BD35" s="43">
        <f>I35/(100-BE35)*100</f>
        <v>0</v>
      </c>
      <c r="BE35" s="43">
        <v>0</v>
      </c>
      <c r="BF35" s="43">
        <f>35</f>
        <v>35</v>
      </c>
      <c r="BH35" s="26">
        <f>H35*AO35</f>
        <v>0</v>
      </c>
      <c r="BI35" s="26">
        <f>H35*AP35</f>
        <v>0</v>
      </c>
      <c r="BJ35" s="26">
        <f>H35*I35</f>
        <v>0</v>
      </c>
      <c r="BK35" s="26" t="s">
        <v>202</v>
      </c>
      <c r="BL35" s="43">
        <v>764</v>
      </c>
    </row>
    <row r="36" spans="1:14" ht="12.75">
      <c r="A36" s="5"/>
      <c r="C36" s="18" t="s">
        <v>94</v>
      </c>
      <c r="F36" s="21"/>
      <c r="H36" s="78">
        <v>16</v>
      </c>
      <c r="M36" s="37"/>
      <c r="N36" s="5"/>
    </row>
    <row r="37" spans="1:64" ht="12.75">
      <c r="A37" s="4" t="s">
        <v>15</v>
      </c>
      <c r="B37" s="14" t="s">
        <v>49</v>
      </c>
      <c r="C37" s="139" t="s">
        <v>95</v>
      </c>
      <c r="D37" s="140"/>
      <c r="E37" s="140"/>
      <c r="F37" s="140"/>
      <c r="G37" s="14" t="s">
        <v>160</v>
      </c>
      <c r="H37" s="77">
        <v>10</v>
      </c>
      <c r="I37" s="26">
        <v>0</v>
      </c>
      <c r="J37" s="26">
        <f>H37*AO37</f>
        <v>0</v>
      </c>
      <c r="K37" s="26">
        <f>H37*AP37</f>
        <v>0</v>
      </c>
      <c r="L37" s="26">
        <f>H37*I37</f>
        <v>0</v>
      </c>
      <c r="M37" s="36" t="s">
        <v>178</v>
      </c>
      <c r="N37" s="5"/>
      <c r="Z37" s="43">
        <f>IF(AQ37="5",BJ37,0)</f>
        <v>0</v>
      </c>
      <c r="AB37" s="43">
        <f>IF(AQ37="1",BH37,0)</f>
        <v>0</v>
      </c>
      <c r="AC37" s="43">
        <f>IF(AQ37="1",BI37,0)</f>
        <v>0</v>
      </c>
      <c r="AD37" s="43">
        <f>IF(AQ37="7",BH37,0)</f>
        <v>0</v>
      </c>
      <c r="AE37" s="43">
        <f>IF(AQ37="7",BI37,0)</f>
        <v>0</v>
      </c>
      <c r="AF37" s="43">
        <f>IF(AQ37="2",BH37,0)</f>
        <v>0</v>
      </c>
      <c r="AG37" s="43">
        <f>IF(AQ37="2",BI37,0)</f>
        <v>0</v>
      </c>
      <c r="AH37" s="43">
        <f>IF(AQ37="0",BJ37,0)</f>
        <v>0</v>
      </c>
      <c r="AI37" s="42"/>
      <c r="AJ37" s="26">
        <f>IF(AN37=0,L37,0)</f>
        <v>0</v>
      </c>
      <c r="AK37" s="26">
        <f>IF(AN37=15,L37,0)</f>
        <v>0</v>
      </c>
      <c r="AL37" s="26">
        <f>IF(AN37=21,L37,0)</f>
        <v>0</v>
      </c>
      <c r="AN37" s="43">
        <v>21</v>
      </c>
      <c r="AO37" s="43">
        <f>I37*0</f>
        <v>0</v>
      </c>
      <c r="AP37" s="43">
        <f>I37*(1-0)</f>
        <v>0</v>
      </c>
      <c r="AQ37" s="44" t="s">
        <v>12</v>
      </c>
      <c r="AV37" s="43">
        <f>AW37+AX37</f>
        <v>0</v>
      </c>
      <c r="AW37" s="43">
        <f>H37*AO37</f>
        <v>0</v>
      </c>
      <c r="AX37" s="43">
        <f>H37*AP37</f>
        <v>0</v>
      </c>
      <c r="AY37" s="46" t="s">
        <v>189</v>
      </c>
      <c r="AZ37" s="46" t="s">
        <v>194</v>
      </c>
      <c r="BA37" s="42" t="s">
        <v>197</v>
      </c>
      <c r="BC37" s="43">
        <f>AW37+AX37</f>
        <v>0</v>
      </c>
      <c r="BD37" s="43">
        <f>I37/(100-BE37)*100</f>
        <v>0</v>
      </c>
      <c r="BE37" s="43">
        <v>0</v>
      </c>
      <c r="BF37" s="43">
        <f>37</f>
        <v>37</v>
      </c>
      <c r="BH37" s="26">
        <f>H37*AO37</f>
        <v>0</v>
      </c>
      <c r="BI37" s="26">
        <f>H37*AP37</f>
        <v>0</v>
      </c>
      <c r="BJ37" s="26">
        <f>H37*I37</f>
        <v>0</v>
      </c>
      <c r="BK37" s="26" t="s">
        <v>202</v>
      </c>
      <c r="BL37" s="43">
        <v>764</v>
      </c>
    </row>
    <row r="38" spans="1:14" ht="12.75">
      <c r="A38" s="5"/>
      <c r="C38" s="18" t="s">
        <v>96</v>
      </c>
      <c r="F38" s="21" t="s">
        <v>141</v>
      </c>
      <c r="H38" s="78">
        <v>10</v>
      </c>
      <c r="M38" s="37"/>
      <c r="N38" s="5"/>
    </row>
    <row r="39" spans="1:64" ht="12.75">
      <c r="A39" s="4" t="s">
        <v>16</v>
      </c>
      <c r="B39" s="14" t="s">
        <v>50</v>
      </c>
      <c r="C39" s="139" t="s">
        <v>97</v>
      </c>
      <c r="D39" s="140"/>
      <c r="E39" s="140"/>
      <c r="F39" s="140"/>
      <c r="G39" s="14" t="s">
        <v>160</v>
      </c>
      <c r="H39" s="77">
        <v>2</v>
      </c>
      <c r="I39" s="26">
        <v>0</v>
      </c>
      <c r="J39" s="26">
        <f>H39*AO39</f>
        <v>0</v>
      </c>
      <c r="K39" s="26">
        <f>H39*AP39</f>
        <v>0</v>
      </c>
      <c r="L39" s="26">
        <f>H39*I39</f>
        <v>0</v>
      </c>
      <c r="M39" s="36" t="s">
        <v>178</v>
      </c>
      <c r="N39" s="5"/>
      <c r="Z39" s="43">
        <f>IF(AQ39="5",BJ39,0)</f>
        <v>0</v>
      </c>
      <c r="AB39" s="43">
        <f>IF(AQ39="1",BH39,0)</f>
        <v>0</v>
      </c>
      <c r="AC39" s="43">
        <f>IF(AQ39="1",BI39,0)</f>
        <v>0</v>
      </c>
      <c r="AD39" s="43">
        <f>IF(AQ39="7",BH39,0)</f>
        <v>0</v>
      </c>
      <c r="AE39" s="43">
        <f>IF(AQ39="7",BI39,0)</f>
        <v>0</v>
      </c>
      <c r="AF39" s="43">
        <f>IF(AQ39="2",BH39,0)</f>
        <v>0</v>
      </c>
      <c r="AG39" s="43">
        <f>IF(AQ39="2",BI39,0)</f>
        <v>0</v>
      </c>
      <c r="AH39" s="43">
        <f>IF(AQ39="0",BJ39,0)</f>
        <v>0</v>
      </c>
      <c r="AI39" s="42"/>
      <c r="AJ39" s="26">
        <f>IF(AN39=0,L39,0)</f>
        <v>0</v>
      </c>
      <c r="AK39" s="26">
        <f>IF(AN39=15,L39,0)</f>
        <v>0</v>
      </c>
      <c r="AL39" s="26">
        <f>IF(AN39=21,L39,0)</f>
        <v>0</v>
      </c>
      <c r="AN39" s="43">
        <v>21</v>
      </c>
      <c r="AO39" s="43">
        <f>I39*0</f>
        <v>0</v>
      </c>
      <c r="AP39" s="43">
        <f>I39*(1-0)</f>
        <v>0</v>
      </c>
      <c r="AQ39" s="44" t="s">
        <v>12</v>
      </c>
      <c r="AV39" s="43">
        <f>AW39+AX39</f>
        <v>0</v>
      </c>
      <c r="AW39" s="43">
        <f>H39*AO39</f>
        <v>0</v>
      </c>
      <c r="AX39" s="43">
        <f>H39*AP39</f>
        <v>0</v>
      </c>
      <c r="AY39" s="46" t="s">
        <v>189</v>
      </c>
      <c r="AZ39" s="46" t="s">
        <v>194</v>
      </c>
      <c r="BA39" s="42" t="s">
        <v>197</v>
      </c>
      <c r="BC39" s="43">
        <f>AW39+AX39</f>
        <v>0</v>
      </c>
      <c r="BD39" s="43">
        <f>I39/(100-BE39)*100</f>
        <v>0</v>
      </c>
      <c r="BE39" s="43">
        <v>0</v>
      </c>
      <c r="BF39" s="43">
        <f>39</f>
        <v>39</v>
      </c>
      <c r="BH39" s="26">
        <f>H39*AO39</f>
        <v>0</v>
      </c>
      <c r="BI39" s="26">
        <f>H39*AP39</f>
        <v>0</v>
      </c>
      <c r="BJ39" s="26">
        <f>H39*I39</f>
        <v>0</v>
      </c>
      <c r="BK39" s="26" t="s">
        <v>202</v>
      </c>
      <c r="BL39" s="43">
        <v>764</v>
      </c>
    </row>
    <row r="40" spans="1:14" ht="12.75">
      <c r="A40" s="5"/>
      <c r="C40" s="18" t="s">
        <v>7</v>
      </c>
      <c r="F40" s="21" t="s">
        <v>142</v>
      </c>
      <c r="H40" s="78">
        <v>2</v>
      </c>
      <c r="M40" s="37"/>
      <c r="N40" s="5"/>
    </row>
    <row r="41" spans="1:64" ht="12.75">
      <c r="A41" s="4" t="s">
        <v>17</v>
      </c>
      <c r="B41" s="14" t="s">
        <v>51</v>
      </c>
      <c r="C41" s="139" t="s">
        <v>98</v>
      </c>
      <c r="D41" s="140"/>
      <c r="E41" s="140"/>
      <c r="F41" s="140"/>
      <c r="G41" s="14" t="s">
        <v>160</v>
      </c>
      <c r="H41" s="77">
        <v>82</v>
      </c>
      <c r="I41" s="26">
        <v>0</v>
      </c>
      <c r="J41" s="26">
        <f>H41*AO41</f>
        <v>0</v>
      </c>
      <c r="K41" s="26">
        <f>H41*AP41</f>
        <v>0</v>
      </c>
      <c r="L41" s="26">
        <f>H41*I41</f>
        <v>0</v>
      </c>
      <c r="M41" s="36" t="s">
        <v>178</v>
      </c>
      <c r="N41" s="5"/>
      <c r="Z41" s="43">
        <f>IF(AQ41="5",BJ41,0)</f>
        <v>0</v>
      </c>
      <c r="AB41" s="43">
        <f>IF(AQ41="1",BH41,0)</f>
        <v>0</v>
      </c>
      <c r="AC41" s="43">
        <f>IF(AQ41="1",BI41,0)</f>
        <v>0</v>
      </c>
      <c r="AD41" s="43">
        <f>IF(AQ41="7",BH41,0)</f>
        <v>0</v>
      </c>
      <c r="AE41" s="43">
        <f>IF(AQ41="7",BI41,0)</f>
        <v>0</v>
      </c>
      <c r="AF41" s="43">
        <f>IF(AQ41="2",BH41,0)</f>
        <v>0</v>
      </c>
      <c r="AG41" s="43">
        <f>IF(AQ41="2",BI41,0)</f>
        <v>0</v>
      </c>
      <c r="AH41" s="43">
        <f>IF(AQ41="0",BJ41,0)</f>
        <v>0</v>
      </c>
      <c r="AI41" s="42"/>
      <c r="AJ41" s="26">
        <f>IF(AN41=0,L41,0)</f>
        <v>0</v>
      </c>
      <c r="AK41" s="26">
        <f>IF(AN41=15,L41,0)</f>
        <v>0</v>
      </c>
      <c r="AL41" s="26">
        <f>IF(AN41=21,L41,0)</f>
        <v>0</v>
      </c>
      <c r="AN41" s="43">
        <v>21</v>
      </c>
      <c r="AO41" s="43">
        <f>I41*0</f>
        <v>0</v>
      </c>
      <c r="AP41" s="43">
        <f>I41*(1-0)</f>
        <v>0</v>
      </c>
      <c r="AQ41" s="44" t="s">
        <v>12</v>
      </c>
      <c r="AV41" s="43">
        <f>AW41+AX41</f>
        <v>0</v>
      </c>
      <c r="AW41" s="43">
        <f>H41*AO41</f>
        <v>0</v>
      </c>
      <c r="AX41" s="43">
        <f>H41*AP41</f>
        <v>0</v>
      </c>
      <c r="AY41" s="46" t="s">
        <v>189</v>
      </c>
      <c r="AZ41" s="46" t="s">
        <v>194</v>
      </c>
      <c r="BA41" s="42" t="s">
        <v>197</v>
      </c>
      <c r="BC41" s="43">
        <f>AW41+AX41</f>
        <v>0</v>
      </c>
      <c r="BD41" s="43">
        <f>I41/(100-BE41)*100</f>
        <v>0</v>
      </c>
      <c r="BE41" s="43">
        <v>0</v>
      </c>
      <c r="BF41" s="43">
        <f>41</f>
        <v>41</v>
      </c>
      <c r="BH41" s="26">
        <f>H41*AO41</f>
        <v>0</v>
      </c>
      <c r="BI41" s="26">
        <f>H41*AP41</f>
        <v>0</v>
      </c>
      <c r="BJ41" s="26">
        <f>H41*I41</f>
        <v>0</v>
      </c>
      <c r="BK41" s="26" t="s">
        <v>202</v>
      </c>
      <c r="BL41" s="43">
        <v>764</v>
      </c>
    </row>
    <row r="42" spans="1:14" ht="12.75">
      <c r="A42" s="5"/>
      <c r="C42" s="18" t="s">
        <v>99</v>
      </c>
      <c r="F42" s="21" t="s">
        <v>143</v>
      </c>
      <c r="H42" s="78">
        <v>82</v>
      </c>
      <c r="M42" s="37"/>
      <c r="N42" s="5"/>
    </row>
    <row r="43" spans="1:64" ht="12.75">
      <c r="A43" s="4" t="s">
        <v>18</v>
      </c>
      <c r="B43" s="14" t="s">
        <v>52</v>
      </c>
      <c r="C43" s="139" t="s">
        <v>100</v>
      </c>
      <c r="D43" s="140"/>
      <c r="E43" s="140"/>
      <c r="F43" s="140"/>
      <c r="G43" s="14" t="s">
        <v>159</v>
      </c>
      <c r="H43" s="77">
        <v>72.5</v>
      </c>
      <c r="I43" s="26">
        <v>0</v>
      </c>
      <c r="J43" s="26">
        <f>H43*AO43</f>
        <v>0</v>
      </c>
      <c r="K43" s="26">
        <f>H43*AP43</f>
        <v>0</v>
      </c>
      <c r="L43" s="26">
        <f>H43*I43</f>
        <v>0</v>
      </c>
      <c r="M43" s="36" t="s">
        <v>178</v>
      </c>
      <c r="N43" s="5"/>
      <c r="Z43" s="43">
        <f>IF(AQ43="5",BJ43,0)</f>
        <v>0</v>
      </c>
      <c r="AB43" s="43">
        <f>IF(AQ43="1",BH43,0)</f>
        <v>0</v>
      </c>
      <c r="AC43" s="43">
        <f>IF(AQ43="1",BI43,0)</f>
        <v>0</v>
      </c>
      <c r="AD43" s="43">
        <f>IF(AQ43="7",BH43,0)</f>
        <v>0</v>
      </c>
      <c r="AE43" s="43">
        <f>IF(AQ43="7",BI43,0)</f>
        <v>0</v>
      </c>
      <c r="AF43" s="43">
        <f>IF(AQ43="2",BH43,0)</f>
        <v>0</v>
      </c>
      <c r="AG43" s="43">
        <f>IF(AQ43="2",BI43,0)</f>
        <v>0</v>
      </c>
      <c r="AH43" s="43">
        <f>IF(AQ43="0",BJ43,0)</f>
        <v>0</v>
      </c>
      <c r="AI43" s="42"/>
      <c r="AJ43" s="26">
        <f>IF(AN43=0,L43,0)</f>
        <v>0</v>
      </c>
      <c r="AK43" s="26">
        <f>IF(AN43=15,L43,0)</f>
        <v>0</v>
      </c>
      <c r="AL43" s="26">
        <f>IF(AN43=21,L43,0)</f>
        <v>0</v>
      </c>
      <c r="AN43" s="43">
        <v>21</v>
      </c>
      <c r="AO43" s="43">
        <f>I43*0.487005813953488</f>
        <v>0</v>
      </c>
      <c r="AP43" s="43">
        <f>I43*(1-0.487005813953488)</f>
        <v>0</v>
      </c>
      <c r="AQ43" s="44" t="s">
        <v>12</v>
      </c>
      <c r="AV43" s="43">
        <f>AW43+AX43</f>
        <v>0</v>
      </c>
      <c r="AW43" s="43">
        <f>H43*AO43</f>
        <v>0</v>
      </c>
      <c r="AX43" s="43">
        <f>H43*AP43</f>
        <v>0</v>
      </c>
      <c r="AY43" s="46" t="s">
        <v>189</v>
      </c>
      <c r="AZ43" s="46" t="s">
        <v>194</v>
      </c>
      <c r="BA43" s="42" t="s">
        <v>197</v>
      </c>
      <c r="BC43" s="43">
        <f>AW43+AX43</f>
        <v>0</v>
      </c>
      <c r="BD43" s="43">
        <f>I43/(100-BE43)*100</f>
        <v>0</v>
      </c>
      <c r="BE43" s="43">
        <v>0</v>
      </c>
      <c r="BF43" s="43">
        <f>43</f>
        <v>43</v>
      </c>
      <c r="BH43" s="26">
        <f>H43*AO43</f>
        <v>0</v>
      </c>
      <c r="BI43" s="26">
        <f>H43*AP43</f>
        <v>0</v>
      </c>
      <c r="BJ43" s="26">
        <f>H43*I43</f>
        <v>0</v>
      </c>
      <c r="BK43" s="26" t="s">
        <v>202</v>
      </c>
      <c r="BL43" s="43">
        <v>764</v>
      </c>
    </row>
    <row r="44" spans="1:14" ht="12.75">
      <c r="A44" s="5"/>
      <c r="C44" s="18" t="s">
        <v>101</v>
      </c>
      <c r="F44" s="21" t="s">
        <v>144</v>
      </c>
      <c r="H44" s="78">
        <v>72.5</v>
      </c>
      <c r="M44" s="37"/>
      <c r="N44" s="5"/>
    </row>
    <row r="45" spans="1:64" ht="12.75">
      <c r="A45" s="4" t="s">
        <v>19</v>
      </c>
      <c r="B45" s="14" t="s">
        <v>53</v>
      </c>
      <c r="C45" s="139" t="s">
        <v>102</v>
      </c>
      <c r="D45" s="140"/>
      <c r="E45" s="140"/>
      <c r="F45" s="140"/>
      <c r="G45" s="14" t="s">
        <v>159</v>
      </c>
      <c r="H45" s="77">
        <v>15.5</v>
      </c>
      <c r="I45" s="26">
        <v>0</v>
      </c>
      <c r="J45" s="26">
        <f>H45*AO45</f>
        <v>0</v>
      </c>
      <c r="K45" s="26">
        <f>H45*AP45</f>
        <v>0</v>
      </c>
      <c r="L45" s="26">
        <f>H45*I45</f>
        <v>0</v>
      </c>
      <c r="M45" s="36" t="s">
        <v>178</v>
      </c>
      <c r="N45" s="5"/>
      <c r="Z45" s="43">
        <f>IF(AQ45="5",BJ45,0)</f>
        <v>0</v>
      </c>
      <c r="AB45" s="43">
        <f>IF(AQ45="1",BH45,0)</f>
        <v>0</v>
      </c>
      <c r="AC45" s="43">
        <f>IF(AQ45="1",BI45,0)</f>
        <v>0</v>
      </c>
      <c r="AD45" s="43">
        <f>IF(AQ45="7",BH45,0)</f>
        <v>0</v>
      </c>
      <c r="AE45" s="43">
        <f>IF(AQ45="7",BI45,0)</f>
        <v>0</v>
      </c>
      <c r="AF45" s="43">
        <f>IF(AQ45="2",BH45,0)</f>
        <v>0</v>
      </c>
      <c r="AG45" s="43">
        <f>IF(AQ45="2",BI45,0)</f>
        <v>0</v>
      </c>
      <c r="AH45" s="43">
        <f>IF(AQ45="0",BJ45,0)</f>
        <v>0</v>
      </c>
      <c r="AI45" s="42"/>
      <c r="AJ45" s="26">
        <f>IF(AN45=0,L45,0)</f>
        <v>0</v>
      </c>
      <c r="AK45" s="26">
        <f>IF(AN45=15,L45,0)</f>
        <v>0</v>
      </c>
      <c r="AL45" s="26">
        <f>IF(AN45=21,L45,0)</f>
        <v>0</v>
      </c>
      <c r="AN45" s="43">
        <v>21</v>
      </c>
      <c r="AO45" s="43">
        <f>I45*0.601795698924731</f>
        <v>0</v>
      </c>
      <c r="AP45" s="43">
        <f>I45*(1-0.601795698924731)</f>
        <v>0</v>
      </c>
      <c r="AQ45" s="44" t="s">
        <v>12</v>
      </c>
      <c r="AV45" s="43">
        <f>AW45+AX45</f>
        <v>0</v>
      </c>
      <c r="AW45" s="43">
        <f>H45*AO45</f>
        <v>0</v>
      </c>
      <c r="AX45" s="43">
        <f>H45*AP45</f>
        <v>0</v>
      </c>
      <c r="AY45" s="46" t="s">
        <v>189</v>
      </c>
      <c r="AZ45" s="46" t="s">
        <v>194</v>
      </c>
      <c r="BA45" s="42" t="s">
        <v>197</v>
      </c>
      <c r="BC45" s="43">
        <f>AW45+AX45</f>
        <v>0</v>
      </c>
      <c r="BD45" s="43">
        <f>I45/(100-BE45)*100</f>
        <v>0</v>
      </c>
      <c r="BE45" s="43">
        <v>0</v>
      </c>
      <c r="BF45" s="43">
        <f>45</f>
        <v>45</v>
      </c>
      <c r="BH45" s="26">
        <f>H45*AO45</f>
        <v>0</v>
      </c>
      <c r="BI45" s="26">
        <f>H45*AP45</f>
        <v>0</v>
      </c>
      <c r="BJ45" s="26">
        <f>H45*I45</f>
        <v>0</v>
      </c>
      <c r="BK45" s="26" t="s">
        <v>202</v>
      </c>
      <c r="BL45" s="43">
        <v>764</v>
      </c>
    </row>
    <row r="46" spans="1:14" ht="12.75">
      <c r="A46" s="5"/>
      <c r="C46" s="18" t="s">
        <v>103</v>
      </c>
      <c r="F46" s="21" t="s">
        <v>145</v>
      </c>
      <c r="H46" s="78">
        <v>15.5</v>
      </c>
      <c r="M46" s="37"/>
      <c r="N46" s="5"/>
    </row>
    <row r="47" spans="1:64" ht="12.75">
      <c r="A47" s="4" t="s">
        <v>20</v>
      </c>
      <c r="B47" s="14" t="s">
        <v>54</v>
      </c>
      <c r="C47" s="139" t="s">
        <v>104</v>
      </c>
      <c r="D47" s="140"/>
      <c r="E47" s="140"/>
      <c r="F47" s="140"/>
      <c r="G47" s="14" t="s">
        <v>159</v>
      </c>
      <c r="H47" s="77">
        <v>16</v>
      </c>
      <c r="I47" s="26">
        <v>0</v>
      </c>
      <c r="J47" s="26">
        <f>H47*AO47</f>
        <v>0</v>
      </c>
      <c r="K47" s="26">
        <f>H47*AP47</f>
        <v>0</v>
      </c>
      <c r="L47" s="26">
        <f>H47*I47</f>
        <v>0</v>
      </c>
      <c r="M47" s="36" t="s">
        <v>178</v>
      </c>
      <c r="N47" s="5"/>
      <c r="Z47" s="43">
        <f>IF(AQ47="5",BJ47,0)</f>
        <v>0</v>
      </c>
      <c r="AB47" s="43">
        <f>IF(AQ47="1",BH47,0)</f>
        <v>0</v>
      </c>
      <c r="AC47" s="43">
        <f>IF(AQ47="1",BI47,0)</f>
        <v>0</v>
      </c>
      <c r="AD47" s="43">
        <f>IF(AQ47="7",BH47,0)</f>
        <v>0</v>
      </c>
      <c r="AE47" s="43">
        <f>IF(AQ47="7",BI47,0)</f>
        <v>0</v>
      </c>
      <c r="AF47" s="43">
        <f>IF(AQ47="2",BH47,0)</f>
        <v>0</v>
      </c>
      <c r="AG47" s="43">
        <f>IF(AQ47="2",BI47,0)</f>
        <v>0</v>
      </c>
      <c r="AH47" s="43">
        <f>IF(AQ47="0",BJ47,0)</f>
        <v>0</v>
      </c>
      <c r="AI47" s="42"/>
      <c r="AJ47" s="26">
        <f>IF(AN47=0,L47,0)</f>
        <v>0</v>
      </c>
      <c r="AK47" s="26">
        <f>IF(AN47=15,L47,0)</f>
        <v>0</v>
      </c>
      <c r="AL47" s="26">
        <f>IF(AN47=21,L47,0)</f>
        <v>0</v>
      </c>
      <c r="AN47" s="43">
        <v>21</v>
      </c>
      <c r="AO47" s="43">
        <f>I47*0.723135607390686</f>
        <v>0</v>
      </c>
      <c r="AP47" s="43">
        <f>I47*(1-0.723135607390686)</f>
        <v>0</v>
      </c>
      <c r="AQ47" s="44" t="s">
        <v>12</v>
      </c>
      <c r="AV47" s="43">
        <f>AW47+AX47</f>
        <v>0</v>
      </c>
      <c r="AW47" s="43">
        <f>H47*AO47</f>
        <v>0</v>
      </c>
      <c r="AX47" s="43">
        <f>H47*AP47</f>
        <v>0</v>
      </c>
      <c r="AY47" s="46" t="s">
        <v>189</v>
      </c>
      <c r="AZ47" s="46" t="s">
        <v>194</v>
      </c>
      <c r="BA47" s="42" t="s">
        <v>197</v>
      </c>
      <c r="BC47" s="43">
        <f>AW47+AX47</f>
        <v>0</v>
      </c>
      <c r="BD47" s="43">
        <f>I47/(100-BE47)*100</f>
        <v>0</v>
      </c>
      <c r="BE47" s="43">
        <v>0</v>
      </c>
      <c r="BF47" s="43">
        <f>47</f>
        <v>47</v>
      </c>
      <c r="BH47" s="26">
        <f>H47*AO47</f>
        <v>0</v>
      </c>
      <c r="BI47" s="26">
        <f>H47*AP47</f>
        <v>0</v>
      </c>
      <c r="BJ47" s="26">
        <f>H47*I47</f>
        <v>0</v>
      </c>
      <c r="BK47" s="26" t="s">
        <v>202</v>
      </c>
      <c r="BL47" s="43">
        <v>764</v>
      </c>
    </row>
    <row r="48" spans="1:14" ht="12.75">
      <c r="A48" s="5"/>
      <c r="C48" s="18" t="s">
        <v>94</v>
      </c>
      <c r="F48" s="21" t="s">
        <v>146</v>
      </c>
      <c r="H48" s="78">
        <v>16</v>
      </c>
      <c r="M48" s="37"/>
      <c r="N48" s="5"/>
    </row>
    <row r="49" spans="1:64" ht="12.75">
      <c r="A49" s="4" t="s">
        <v>21</v>
      </c>
      <c r="B49" s="14" t="s">
        <v>55</v>
      </c>
      <c r="C49" s="139" t="s">
        <v>105</v>
      </c>
      <c r="D49" s="140"/>
      <c r="E49" s="140"/>
      <c r="F49" s="140"/>
      <c r="G49" s="14" t="s">
        <v>159</v>
      </c>
      <c r="H49" s="77">
        <v>12.1</v>
      </c>
      <c r="I49" s="26">
        <v>0</v>
      </c>
      <c r="J49" s="26">
        <f>H49*AO49</f>
        <v>0</v>
      </c>
      <c r="K49" s="26">
        <f>H49*AP49</f>
        <v>0</v>
      </c>
      <c r="L49" s="26">
        <f>H49*I49</f>
        <v>0</v>
      </c>
      <c r="M49" s="36" t="s">
        <v>178</v>
      </c>
      <c r="N49" s="5"/>
      <c r="Z49" s="43">
        <f>IF(AQ49="5",BJ49,0)</f>
        <v>0</v>
      </c>
      <c r="AB49" s="43">
        <f>IF(AQ49="1",BH49,0)</f>
        <v>0</v>
      </c>
      <c r="AC49" s="43">
        <f>IF(AQ49="1",BI49,0)</f>
        <v>0</v>
      </c>
      <c r="AD49" s="43">
        <f>IF(AQ49="7",BH49,0)</f>
        <v>0</v>
      </c>
      <c r="AE49" s="43">
        <f>IF(AQ49="7",BI49,0)</f>
        <v>0</v>
      </c>
      <c r="AF49" s="43">
        <f>IF(AQ49="2",BH49,0)</f>
        <v>0</v>
      </c>
      <c r="AG49" s="43">
        <f>IF(AQ49="2",BI49,0)</f>
        <v>0</v>
      </c>
      <c r="AH49" s="43">
        <f>IF(AQ49="0",BJ49,0)</f>
        <v>0</v>
      </c>
      <c r="AI49" s="42"/>
      <c r="AJ49" s="26">
        <f>IF(AN49=0,L49,0)</f>
        <v>0</v>
      </c>
      <c r="AK49" s="26">
        <f>IF(AN49=15,L49,0)</f>
        <v>0</v>
      </c>
      <c r="AL49" s="26">
        <f>IF(AN49=21,L49,0)</f>
        <v>0</v>
      </c>
      <c r="AN49" s="43">
        <v>21</v>
      </c>
      <c r="AO49" s="43">
        <f>I49*0.446179717816458</f>
        <v>0</v>
      </c>
      <c r="AP49" s="43">
        <f>I49*(1-0.446179717816458)</f>
        <v>0</v>
      </c>
      <c r="AQ49" s="44" t="s">
        <v>12</v>
      </c>
      <c r="AV49" s="43">
        <f>AW49+AX49</f>
        <v>0</v>
      </c>
      <c r="AW49" s="43">
        <f>H49*AO49</f>
        <v>0</v>
      </c>
      <c r="AX49" s="43">
        <f>H49*AP49</f>
        <v>0</v>
      </c>
      <c r="AY49" s="46" t="s">
        <v>189</v>
      </c>
      <c r="AZ49" s="46" t="s">
        <v>194</v>
      </c>
      <c r="BA49" s="42" t="s">
        <v>197</v>
      </c>
      <c r="BC49" s="43">
        <f>AW49+AX49</f>
        <v>0</v>
      </c>
      <c r="BD49" s="43">
        <f>I49/(100-BE49)*100</f>
        <v>0</v>
      </c>
      <c r="BE49" s="43">
        <v>0</v>
      </c>
      <c r="BF49" s="43">
        <f>49</f>
        <v>49</v>
      </c>
      <c r="BH49" s="26">
        <f>H49*AO49</f>
        <v>0</v>
      </c>
      <c r="BI49" s="26">
        <f>H49*AP49</f>
        <v>0</v>
      </c>
      <c r="BJ49" s="26">
        <f>H49*I49</f>
        <v>0</v>
      </c>
      <c r="BK49" s="26" t="s">
        <v>202</v>
      </c>
      <c r="BL49" s="43">
        <v>764</v>
      </c>
    </row>
    <row r="50" spans="1:14" ht="12.75">
      <c r="A50" s="5"/>
      <c r="C50" s="18" t="s">
        <v>106</v>
      </c>
      <c r="F50" s="21" t="s">
        <v>147</v>
      </c>
      <c r="H50" s="78">
        <v>12.1</v>
      </c>
      <c r="M50" s="37"/>
      <c r="N50" s="5"/>
    </row>
    <row r="51" spans="1:64" ht="12.75">
      <c r="A51" s="4" t="s">
        <v>22</v>
      </c>
      <c r="B51" s="14" t="s">
        <v>56</v>
      </c>
      <c r="C51" s="139" t="s">
        <v>107</v>
      </c>
      <c r="D51" s="140"/>
      <c r="E51" s="140"/>
      <c r="F51" s="140"/>
      <c r="G51" s="14" t="s">
        <v>160</v>
      </c>
      <c r="H51" s="77">
        <v>10</v>
      </c>
      <c r="I51" s="26">
        <v>0</v>
      </c>
      <c r="J51" s="26">
        <f>H51*AO51</f>
        <v>0</v>
      </c>
      <c r="K51" s="26">
        <f>H51*AP51</f>
        <v>0</v>
      </c>
      <c r="L51" s="26">
        <f>H51*I51</f>
        <v>0</v>
      </c>
      <c r="M51" s="36" t="s">
        <v>178</v>
      </c>
      <c r="N51" s="5"/>
      <c r="Z51" s="43">
        <f>IF(AQ51="5",BJ51,0)</f>
        <v>0</v>
      </c>
      <c r="AB51" s="43">
        <f>IF(AQ51="1",BH51,0)</f>
        <v>0</v>
      </c>
      <c r="AC51" s="43">
        <f>IF(AQ51="1",BI51,0)</f>
        <v>0</v>
      </c>
      <c r="AD51" s="43">
        <f>IF(AQ51="7",BH51,0)</f>
        <v>0</v>
      </c>
      <c r="AE51" s="43">
        <f>IF(AQ51="7",BI51,0)</f>
        <v>0</v>
      </c>
      <c r="AF51" s="43">
        <f>IF(AQ51="2",BH51,0)</f>
        <v>0</v>
      </c>
      <c r="AG51" s="43">
        <f>IF(AQ51="2",BI51,0)</f>
        <v>0</v>
      </c>
      <c r="AH51" s="43">
        <f>IF(AQ51="0",BJ51,0)</f>
        <v>0</v>
      </c>
      <c r="AI51" s="42"/>
      <c r="AJ51" s="26">
        <f>IF(AN51=0,L51,0)</f>
        <v>0</v>
      </c>
      <c r="AK51" s="26">
        <f>IF(AN51=15,L51,0)</f>
        <v>0</v>
      </c>
      <c r="AL51" s="26">
        <f>IF(AN51=21,L51,0)</f>
        <v>0</v>
      </c>
      <c r="AN51" s="43">
        <v>21</v>
      </c>
      <c r="AO51" s="43">
        <f>I51*0.633688161966613</f>
        <v>0</v>
      </c>
      <c r="AP51" s="43">
        <f>I51*(1-0.633688161966613)</f>
        <v>0</v>
      </c>
      <c r="AQ51" s="44" t="s">
        <v>12</v>
      </c>
      <c r="AV51" s="43">
        <f>AW51+AX51</f>
        <v>0</v>
      </c>
      <c r="AW51" s="43">
        <f>H51*AO51</f>
        <v>0</v>
      </c>
      <c r="AX51" s="43">
        <f>H51*AP51</f>
        <v>0</v>
      </c>
      <c r="AY51" s="46" t="s">
        <v>189</v>
      </c>
      <c r="AZ51" s="46" t="s">
        <v>194</v>
      </c>
      <c r="BA51" s="42" t="s">
        <v>197</v>
      </c>
      <c r="BC51" s="43">
        <f>AW51+AX51</f>
        <v>0</v>
      </c>
      <c r="BD51" s="43">
        <f>I51/(100-BE51)*100</f>
        <v>0</v>
      </c>
      <c r="BE51" s="43">
        <v>0</v>
      </c>
      <c r="BF51" s="43">
        <f>51</f>
        <v>51</v>
      </c>
      <c r="BH51" s="26">
        <f>H51*AO51</f>
        <v>0</v>
      </c>
      <c r="BI51" s="26">
        <f>H51*AP51</f>
        <v>0</v>
      </c>
      <c r="BJ51" s="26">
        <f>H51*I51</f>
        <v>0</v>
      </c>
      <c r="BK51" s="26" t="s">
        <v>202</v>
      </c>
      <c r="BL51" s="43">
        <v>764</v>
      </c>
    </row>
    <row r="52" spans="1:14" ht="12.75">
      <c r="A52" s="5"/>
      <c r="C52" s="18" t="s">
        <v>96</v>
      </c>
      <c r="F52" s="21" t="s">
        <v>148</v>
      </c>
      <c r="H52" s="78">
        <v>10</v>
      </c>
      <c r="M52" s="37"/>
      <c r="N52" s="5"/>
    </row>
    <row r="53" spans="1:64" ht="12.75">
      <c r="A53" s="4" t="s">
        <v>23</v>
      </c>
      <c r="B53" s="14" t="s">
        <v>57</v>
      </c>
      <c r="C53" s="139" t="s">
        <v>108</v>
      </c>
      <c r="D53" s="140"/>
      <c r="E53" s="140"/>
      <c r="F53" s="140"/>
      <c r="G53" s="14" t="s">
        <v>160</v>
      </c>
      <c r="H53" s="77">
        <v>82</v>
      </c>
      <c r="I53" s="26">
        <v>0</v>
      </c>
      <c r="J53" s="26">
        <f>H53*AO53</f>
        <v>0</v>
      </c>
      <c r="K53" s="26">
        <f>H53*AP53</f>
        <v>0</v>
      </c>
      <c r="L53" s="26">
        <f>H53*I53</f>
        <v>0</v>
      </c>
      <c r="M53" s="36" t="s">
        <v>178</v>
      </c>
      <c r="N53" s="5"/>
      <c r="Z53" s="43">
        <f>IF(AQ53="5",BJ53,0)</f>
        <v>0</v>
      </c>
      <c r="AB53" s="43">
        <f>IF(AQ53="1",BH53,0)</f>
        <v>0</v>
      </c>
      <c r="AC53" s="43">
        <f>IF(AQ53="1",BI53,0)</f>
        <v>0</v>
      </c>
      <c r="AD53" s="43">
        <f>IF(AQ53="7",BH53,0)</f>
        <v>0</v>
      </c>
      <c r="AE53" s="43">
        <f>IF(AQ53="7",BI53,0)</f>
        <v>0</v>
      </c>
      <c r="AF53" s="43">
        <f>IF(AQ53="2",BH53,0)</f>
        <v>0</v>
      </c>
      <c r="AG53" s="43">
        <f>IF(AQ53="2",BI53,0)</f>
        <v>0</v>
      </c>
      <c r="AH53" s="43">
        <f>IF(AQ53="0",BJ53,0)</f>
        <v>0</v>
      </c>
      <c r="AI53" s="42"/>
      <c r="AJ53" s="26">
        <f>IF(AN53=0,L53,0)</f>
        <v>0</v>
      </c>
      <c r="AK53" s="26">
        <f>IF(AN53=15,L53,0)</f>
        <v>0</v>
      </c>
      <c r="AL53" s="26">
        <f>IF(AN53=21,L53,0)</f>
        <v>0</v>
      </c>
      <c r="AN53" s="43">
        <v>21</v>
      </c>
      <c r="AO53" s="43">
        <f>I53*0.597961165048544</f>
        <v>0</v>
      </c>
      <c r="AP53" s="43">
        <f>I53*(1-0.597961165048544)</f>
        <v>0</v>
      </c>
      <c r="AQ53" s="44" t="s">
        <v>12</v>
      </c>
      <c r="AV53" s="43">
        <f>AW53+AX53</f>
        <v>0</v>
      </c>
      <c r="AW53" s="43">
        <f>H53*AO53</f>
        <v>0</v>
      </c>
      <c r="AX53" s="43">
        <f>H53*AP53</f>
        <v>0</v>
      </c>
      <c r="AY53" s="46" t="s">
        <v>189</v>
      </c>
      <c r="AZ53" s="46" t="s">
        <v>194</v>
      </c>
      <c r="BA53" s="42" t="s">
        <v>197</v>
      </c>
      <c r="BC53" s="43">
        <f>AW53+AX53</f>
        <v>0</v>
      </c>
      <c r="BD53" s="43">
        <f>I53/(100-BE53)*100</f>
        <v>0</v>
      </c>
      <c r="BE53" s="43">
        <v>0</v>
      </c>
      <c r="BF53" s="43">
        <f>53</f>
        <v>53</v>
      </c>
      <c r="BH53" s="26">
        <f>H53*AO53</f>
        <v>0</v>
      </c>
      <c r="BI53" s="26">
        <f>H53*AP53</f>
        <v>0</v>
      </c>
      <c r="BJ53" s="26">
        <f>H53*I53</f>
        <v>0</v>
      </c>
      <c r="BK53" s="26" t="s">
        <v>202</v>
      </c>
      <c r="BL53" s="43">
        <v>764</v>
      </c>
    </row>
    <row r="54" spans="1:14" ht="12.75">
      <c r="A54" s="5"/>
      <c r="C54" s="18" t="s">
        <v>99</v>
      </c>
      <c r="F54" s="21" t="s">
        <v>143</v>
      </c>
      <c r="H54" s="78">
        <v>82</v>
      </c>
      <c r="M54" s="37"/>
      <c r="N54" s="5"/>
    </row>
    <row r="55" spans="1:64" ht="12.75">
      <c r="A55" s="4" t="s">
        <v>24</v>
      </c>
      <c r="B55" s="14" t="s">
        <v>58</v>
      </c>
      <c r="C55" s="139" t="s">
        <v>109</v>
      </c>
      <c r="D55" s="140"/>
      <c r="E55" s="140"/>
      <c r="F55" s="140"/>
      <c r="G55" s="14" t="s">
        <v>160</v>
      </c>
      <c r="H55" s="77">
        <v>2</v>
      </c>
      <c r="I55" s="26">
        <v>0</v>
      </c>
      <c r="J55" s="26">
        <f>H55*AO55</f>
        <v>0</v>
      </c>
      <c r="K55" s="26">
        <f>H55*AP55</f>
        <v>0</v>
      </c>
      <c r="L55" s="26">
        <f>H55*I55</f>
        <v>0</v>
      </c>
      <c r="M55" s="36" t="s">
        <v>178</v>
      </c>
      <c r="N55" s="5"/>
      <c r="Z55" s="43">
        <f>IF(AQ55="5",BJ55,0)</f>
        <v>0</v>
      </c>
      <c r="AB55" s="43">
        <f>IF(AQ55="1",BH55,0)</f>
        <v>0</v>
      </c>
      <c r="AC55" s="43">
        <f>IF(AQ55="1",BI55,0)</f>
        <v>0</v>
      </c>
      <c r="AD55" s="43">
        <f>IF(AQ55="7",BH55,0)</f>
        <v>0</v>
      </c>
      <c r="AE55" s="43">
        <f>IF(AQ55="7",BI55,0)</f>
        <v>0</v>
      </c>
      <c r="AF55" s="43">
        <f>IF(AQ55="2",BH55,0)</f>
        <v>0</v>
      </c>
      <c r="AG55" s="43">
        <f>IF(AQ55="2",BI55,0)</f>
        <v>0</v>
      </c>
      <c r="AH55" s="43">
        <f>IF(AQ55="0",BJ55,0)</f>
        <v>0</v>
      </c>
      <c r="AI55" s="42"/>
      <c r="AJ55" s="26">
        <f>IF(AN55=0,L55,0)</f>
        <v>0</v>
      </c>
      <c r="AK55" s="26">
        <f>IF(AN55=15,L55,0)</f>
        <v>0</v>
      </c>
      <c r="AL55" s="26">
        <f>IF(AN55=21,L55,0)</f>
        <v>0</v>
      </c>
      <c r="AN55" s="43">
        <v>21</v>
      </c>
      <c r="AO55" s="43">
        <f>I55*0.585791341376863</f>
        <v>0</v>
      </c>
      <c r="AP55" s="43">
        <f>I55*(1-0.585791341376863)</f>
        <v>0</v>
      </c>
      <c r="AQ55" s="44" t="s">
        <v>12</v>
      </c>
      <c r="AV55" s="43">
        <f>AW55+AX55</f>
        <v>0</v>
      </c>
      <c r="AW55" s="43">
        <f>H55*AO55</f>
        <v>0</v>
      </c>
      <c r="AX55" s="43">
        <f>H55*AP55</f>
        <v>0</v>
      </c>
      <c r="AY55" s="46" t="s">
        <v>189</v>
      </c>
      <c r="AZ55" s="46" t="s">
        <v>194</v>
      </c>
      <c r="BA55" s="42" t="s">
        <v>197</v>
      </c>
      <c r="BC55" s="43">
        <f>AW55+AX55</f>
        <v>0</v>
      </c>
      <c r="BD55" s="43">
        <f>I55/(100-BE55)*100</f>
        <v>0</v>
      </c>
      <c r="BE55" s="43">
        <v>0</v>
      </c>
      <c r="BF55" s="43">
        <f>55</f>
        <v>55</v>
      </c>
      <c r="BH55" s="26">
        <f>H55*AO55</f>
        <v>0</v>
      </c>
      <c r="BI55" s="26">
        <f>H55*AP55</f>
        <v>0</v>
      </c>
      <c r="BJ55" s="26">
        <f>H55*I55</f>
        <v>0</v>
      </c>
      <c r="BK55" s="26" t="s">
        <v>202</v>
      </c>
      <c r="BL55" s="43">
        <v>764</v>
      </c>
    </row>
    <row r="56" spans="1:14" ht="12.75">
      <c r="A56" s="5"/>
      <c r="C56" s="18" t="s">
        <v>7</v>
      </c>
      <c r="F56" s="21" t="s">
        <v>142</v>
      </c>
      <c r="H56" s="78">
        <v>2</v>
      </c>
      <c r="M56" s="37"/>
      <c r="N56" s="5"/>
    </row>
    <row r="57" spans="1:64" ht="12.75">
      <c r="A57" s="4" t="s">
        <v>25</v>
      </c>
      <c r="B57" s="14" t="s">
        <v>59</v>
      </c>
      <c r="C57" s="139" t="s">
        <v>110</v>
      </c>
      <c r="D57" s="140"/>
      <c r="E57" s="140"/>
      <c r="F57" s="140"/>
      <c r="G57" s="14" t="s">
        <v>158</v>
      </c>
      <c r="H57" s="77">
        <v>2.04</v>
      </c>
      <c r="I57" s="26">
        <v>0</v>
      </c>
      <c r="J57" s="26">
        <f>H57*AO57</f>
        <v>0</v>
      </c>
      <c r="K57" s="26">
        <f>H57*AP57</f>
        <v>0</v>
      </c>
      <c r="L57" s="26">
        <f>H57*I57</f>
        <v>0</v>
      </c>
      <c r="M57" s="36" t="s">
        <v>178</v>
      </c>
      <c r="N57" s="5"/>
      <c r="Z57" s="43">
        <f>IF(AQ57="5",BJ57,0)</f>
        <v>0</v>
      </c>
      <c r="AB57" s="43">
        <f>IF(AQ57="1",BH57,0)</f>
        <v>0</v>
      </c>
      <c r="AC57" s="43">
        <f>IF(AQ57="1",BI57,0)</f>
        <v>0</v>
      </c>
      <c r="AD57" s="43">
        <f>IF(AQ57="7",BH57,0)</f>
        <v>0</v>
      </c>
      <c r="AE57" s="43">
        <f>IF(AQ57="7",BI57,0)</f>
        <v>0</v>
      </c>
      <c r="AF57" s="43">
        <f>IF(AQ57="2",BH57,0)</f>
        <v>0</v>
      </c>
      <c r="AG57" s="43">
        <f>IF(AQ57="2",BI57,0)</f>
        <v>0</v>
      </c>
      <c r="AH57" s="43">
        <f>IF(AQ57="0",BJ57,0)</f>
        <v>0</v>
      </c>
      <c r="AI57" s="42"/>
      <c r="AJ57" s="26">
        <f>IF(AN57=0,L57,0)</f>
        <v>0</v>
      </c>
      <c r="AK57" s="26">
        <f>IF(AN57=15,L57,0)</f>
        <v>0</v>
      </c>
      <c r="AL57" s="26">
        <f>IF(AN57=21,L57,0)</f>
        <v>0</v>
      </c>
      <c r="AN57" s="43">
        <v>21</v>
      </c>
      <c r="AO57" s="43">
        <f>I57*0</f>
        <v>0</v>
      </c>
      <c r="AP57" s="43">
        <f>I57*(1-0)</f>
        <v>0</v>
      </c>
      <c r="AQ57" s="44" t="s">
        <v>10</v>
      </c>
      <c r="AV57" s="43">
        <f>AW57+AX57</f>
        <v>0</v>
      </c>
      <c r="AW57" s="43">
        <f>H57*AO57</f>
        <v>0</v>
      </c>
      <c r="AX57" s="43">
        <f>H57*AP57</f>
        <v>0</v>
      </c>
      <c r="AY57" s="46" t="s">
        <v>189</v>
      </c>
      <c r="AZ57" s="46" t="s">
        <v>194</v>
      </c>
      <c r="BA57" s="42" t="s">
        <v>197</v>
      </c>
      <c r="BC57" s="43">
        <f>AW57+AX57</f>
        <v>0</v>
      </c>
      <c r="BD57" s="43">
        <f>I57/(100-BE57)*100</f>
        <v>0</v>
      </c>
      <c r="BE57" s="43">
        <v>0</v>
      </c>
      <c r="BF57" s="43">
        <f>57</f>
        <v>57</v>
      </c>
      <c r="BH57" s="26">
        <f>H57*AO57</f>
        <v>0</v>
      </c>
      <c r="BI57" s="26">
        <f>H57*AP57</f>
        <v>0</v>
      </c>
      <c r="BJ57" s="26">
        <f>H57*I57</f>
        <v>0</v>
      </c>
      <c r="BK57" s="26" t="s">
        <v>202</v>
      </c>
      <c r="BL57" s="43">
        <v>764</v>
      </c>
    </row>
    <row r="58" spans="1:47" ht="12.75">
      <c r="A58" s="7"/>
      <c r="B58" s="16" t="s">
        <v>60</v>
      </c>
      <c r="C58" s="143" t="s">
        <v>111</v>
      </c>
      <c r="D58" s="144"/>
      <c r="E58" s="144"/>
      <c r="F58" s="144"/>
      <c r="G58" s="24" t="s">
        <v>5</v>
      </c>
      <c r="H58" s="24" t="s">
        <v>5</v>
      </c>
      <c r="I58" s="24" t="s">
        <v>5</v>
      </c>
      <c r="J58" s="49">
        <f>SUM(J59:J59)</f>
        <v>0</v>
      </c>
      <c r="K58" s="49">
        <f>SUM(K59:K59)</f>
        <v>0</v>
      </c>
      <c r="L58" s="49">
        <f>SUM(L59:L59)</f>
        <v>0</v>
      </c>
      <c r="M58" s="39"/>
      <c r="N58" s="5"/>
      <c r="AI58" s="42"/>
      <c r="AS58" s="49">
        <f>SUM(AJ59:AJ59)</f>
        <v>0</v>
      </c>
      <c r="AT58" s="49">
        <f>SUM(AK59:AK59)</f>
        <v>0</v>
      </c>
      <c r="AU58" s="49">
        <f>SUM(AL59:AL59)</f>
        <v>0</v>
      </c>
    </row>
    <row r="59" spans="1:64" ht="12.75">
      <c r="A59" s="4" t="s">
        <v>26</v>
      </c>
      <c r="B59" s="14" t="s">
        <v>61</v>
      </c>
      <c r="C59" s="139" t="s">
        <v>112</v>
      </c>
      <c r="D59" s="140"/>
      <c r="E59" s="140"/>
      <c r="F59" s="140"/>
      <c r="G59" s="14" t="s">
        <v>157</v>
      </c>
      <c r="H59" s="77">
        <v>448.95</v>
      </c>
      <c r="I59" s="26">
        <v>0</v>
      </c>
      <c r="J59" s="26">
        <f>H59*AO59</f>
        <v>0</v>
      </c>
      <c r="K59" s="26">
        <f>H59*AP59</f>
        <v>0</v>
      </c>
      <c r="L59" s="26">
        <f>H59*I59</f>
        <v>0</v>
      </c>
      <c r="M59" s="36" t="s">
        <v>178</v>
      </c>
      <c r="N59" s="5"/>
      <c r="Z59" s="43">
        <f>IF(AQ59="5",BJ59,0)</f>
        <v>0</v>
      </c>
      <c r="AB59" s="43">
        <f>IF(AQ59="1",BH59,0)</f>
        <v>0</v>
      </c>
      <c r="AC59" s="43">
        <f>IF(AQ59="1",BI59,0)</f>
        <v>0</v>
      </c>
      <c r="AD59" s="43">
        <f>IF(AQ59="7",BH59,0)</f>
        <v>0</v>
      </c>
      <c r="AE59" s="43">
        <f>IF(AQ59="7",BI59,0)</f>
        <v>0</v>
      </c>
      <c r="AF59" s="43">
        <f>IF(AQ59="2",BH59,0)</f>
        <v>0</v>
      </c>
      <c r="AG59" s="43">
        <f>IF(AQ59="2",BI59,0)</f>
        <v>0</v>
      </c>
      <c r="AH59" s="43">
        <f>IF(AQ59="0",BJ59,0)</f>
        <v>0</v>
      </c>
      <c r="AI59" s="42"/>
      <c r="AJ59" s="26">
        <f>IF(AN59=0,L59,0)</f>
        <v>0</v>
      </c>
      <c r="AK59" s="26">
        <f>IF(AN59=15,L59,0)</f>
        <v>0</v>
      </c>
      <c r="AL59" s="26">
        <f>IF(AN59=21,L59,0)</f>
        <v>0</v>
      </c>
      <c r="AN59" s="43">
        <v>21</v>
      </c>
      <c r="AO59" s="43">
        <f>I59*0</f>
        <v>0</v>
      </c>
      <c r="AP59" s="43">
        <f>I59*(1-0)</f>
        <v>0</v>
      </c>
      <c r="AQ59" s="44" t="s">
        <v>12</v>
      </c>
      <c r="AV59" s="43">
        <f>AW59+AX59</f>
        <v>0</v>
      </c>
      <c r="AW59" s="43">
        <f>H59*AO59</f>
        <v>0</v>
      </c>
      <c r="AX59" s="43">
        <f>H59*AP59</f>
        <v>0</v>
      </c>
      <c r="AY59" s="46" t="s">
        <v>190</v>
      </c>
      <c r="AZ59" s="46" t="s">
        <v>195</v>
      </c>
      <c r="BA59" s="42" t="s">
        <v>197</v>
      </c>
      <c r="BC59" s="43">
        <f>AW59+AX59</f>
        <v>0</v>
      </c>
      <c r="BD59" s="43">
        <f>I59/(100-BE59)*100</f>
        <v>0</v>
      </c>
      <c r="BE59" s="43">
        <v>0</v>
      </c>
      <c r="BF59" s="43">
        <f>59</f>
        <v>59</v>
      </c>
      <c r="BH59" s="26">
        <f>H59*AO59</f>
        <v>0</v>
      </c>
      <c r="BI59" s="26">
        <f>H59*AP59</f>
        <v>0</v>
      </c>
      <c r="BJ59" s="26">
        <f>H59*I59</f>
        <v>0</v>
      </c>
      <c r="BK59" s="26" t="s">
        <v>202</v>
      </c>
      <c r="BL59" s="43">
        <v>777</v>
      </c>
    </row>
    <row r="60" spans="1:14" ht="12.75">
      <c r="A60" s="5"/>
      <c r="C60" s="18" t="s">
        <v>79</v>
      </c>
      <c r="F60" s="21" t="s">
        <v>136</v>
      </c>
      <c r="H60" s="78">
        <v>448.95</v>
      </c>
      <c r="M60" s="37"/>
      <c r="N60" s="5"/>
    </row>
    <row r="61" spans="1:47" ht="12.75">
      <c r="A61" s="7"/>
      <c r="B61" s="16" t="s">
        <v>62</v>
      </c>
      <c r="C61" s="143" t="s">
        <v>113</v>
      </c>
      <c r="D61" s="144"/>
      <c r="E61" s="144"/>
      <c r="F61" s="144"/>
      <c r="G61" s="24" t="s">
        <v>5</v>
      </c>
      <c r="H61" s="24" t="s">
        <v>5</v>
      </c>
      <c r="I61" s="24" t="s">
        <v>5</v>
      </c>
      <c r="J61" s="49">
        <f>SUM(J62:J62)</f>
        <v>0</v>
      </c>
      <c r="K61" s="49">
        <f>SUM(K62:K62)</f>
        <v>0</v>
      </c>
      <c r="L61" s="49">
        <f>SUM(L62:L62)</f>
        <v>0</v>
      </c>
      <c r="M61" s="39"/>
      <c r="N61" s="5"/>
      <c r="AI61" s="42"/>
      <c r="AS61" s="49">
        <f>SUM(AJ62:AJ62)</f>
        <v>0</v>
      </c>
      <c r="AT61" s="49">
        <f>SUM(AK62:AK62)</f>
        <v>0</v>
      </c>
      <c r="AU61" s="49">
        <f>SUM(AL62:AL62)</f>
        <v>0</v>
      </c>
    </row>
    <row r="62" spans="1:64" ht="12.75">
      <c r="A62" s="4" t="s">
        <v>27</v>
      </c>
      <c r="B62" s="14" t="s">
        <v>63</v>
      </c>
      <c r="C62" s="139" t="s">
        <v>114</v>
      </c>
      <c r="D62" s="140"/>
      <c r="E62" s="140"/>
      <c r="F62" s="140"/>
      <c r="G62" s="14" t="s">
        <v>157</v>
      </c>
      <c r="H62" s="77">
        <v>448.95</v>
      </c>
      <c r="I62" s="26">
        <v>0</v>
      </c>
      <c r="J62" s="26">
        <f>H62*AO62</f>
        <v>0</v>
      </c>
      <c r="K62" s="26">
        <f>H62*AP62</f>
        <v>0</v>
      </c>
      <c r="L62" s="26">
        <f>H62*I62</f>
        <v>0</v>
      </c>
      <c r="M62" s="36" t="s">
        <v>178</v>
      </c>
      <c r="N62" s="5"/>
      <c r="Z62" s="43">
        <f>IF(AQ62="5",BJ62,0)</f>
        <v>0</v>
      </c>
      <c r="AB62" s="43">
        <f>IF(AQ62="1",BH62,0)</f>
        <v>0</v>
      </c>
      <c r="AC62" s="43">
        <f>IF(AQ62="1",BI62,0)</f>
        <v>0</v>
      </c>
      <c r="AD62" s="43">
        <f>IF(AQ62="7",BH62,0)</f>
        <v>0</v>
      </c>
      <c r="AE62" s="43">
        <f>IF(AQ62="7",BI62,0)</f>
        <v>0</v>
      </c>
      <c r="AF62" s="43">
        <f>IF(AQ62="2",BH62,0)</f>
        <v>0</v>
      </c>
      <c r="AG62" s="43">
        <f>IF(AQ62="2",BI62,0)</f>
        <v>0</v>
      </c>
      <c r="AH62" s="43">
        <f>IF(AQ62="0",BJ62,0)</f>
        <v>0</v>
      </c>
      <c r="AI62" s="42"/>
      <c r="AJ62" s="26">
        <f>IF(AN62=0,L62,0)</f>
        <v>0</v>
      </c>
      <c r="AK62" s="26">
        <f>IF(AN62=15,L62,0)</f>
        <v>0</v>
      </c>
      <c r="AL62" s="26">
        <f>IF(AN62=21,L62,0)</f>
        <v>0</v>
      </c>
      <c r="AN62" s="43">
        <v>21</v>
      </c>
      <c r="AO62" s="43">
        <f>I62*0</f>
        <v>0</v>
      </c>
      <c r="AP62" s="43">
        <f>I62*(1-0)</f>
        <v>0</v>
      </c>
      <c r="AQ62" s="44" t="s">
        <v>6</v>
      </c>
      <c r="AV62" s="43">
        <f>AW62+AX62</f>
        <v>0</v>
      </c>
      <c r="AW62" s="43">
        <f>H62*AO62</f>
        <v>0</v>
      </c>
      <c r="AX62" s="43">
        <f>H62*AP62</f>
        <v>0</v>
      </c>
      <c r="AY62" s="46" t="s">
        <v>191</v>
      </c>
      <c r="AZ62" s="46" t="s">
        <v>196</v>
      </c>
      <c r="BA62" s="42" t="s">
        <v>197</v>
      </c>
      <c r="BC62" s="43">
        <f>AW62+AX62</f>
        <v>0</v>
      </c>
      <c r="BD62" s="43">
        <f>I62/(100-BE62)*100</f>
        <v>0</v>
      </c>
      <c r="BE62" s="43">
        <v>0</v>
      </c>
      <c r="BF62" s="43">
        <f>62</f>
        <v>62</v>
      </c>
      <c r="BH62" s="26">
        <f>H62*AO62</f>
        <v>0</v>
      </c>
      <c r="BI62" s="26">
        <f>H62*AP62</f>
        <v>0</v>
      </c>
      <c r="BJ62" s="26">
        <f>H62*I62</f>
        <v>0</v>
      </c>
      <c r="BK62" s="26" t="s">
        <v>202</v>
      </c>
      <c r="BL62" s="43">
        <v>96</v>
      </c>
    </row>
    <row r="63" spans="1:14" ht="12.75">
      <c r="A63" s="5"/>
      <c r="C63" s="18" t="s">
        <v>79</v>
      </c>
      <c r="F63" s="21" t="s">
        <v>136</v>
      </c>
      <c r="H63" s="78">
        <v>448.95</v>
      </c>
      <c r="M63" s="37"/>
      <c r="N63" s="5"/>
    </row>
    <row r="64" spans="1:47" ht="12.75">
      <c r="A64" s="7"/>
      <c r="B64" s="16" t="s">
        <v>64</v>
      </c>
      <c r="C64" s="143" t="s">
        <v>115</v>
      </c>
      <c r="D64" s="144"/>
      <c r="E64" s="144"/>
      <c r="F64" s="144"/>
      <c r="G64" s="24" t="s">
        <v>5</v>
      </c>
      <c r="H64" s="24" t="s">
        <v>5</v>
      </c>
      <c r="I64" s="24" t="s">
        <v>5</v>
      </c>
      <c r="J64" s="49">
        <f>SUM(J65:J85)</f>
        <v>0</v>
      </c>
      <c r="K64" s="49">
        <f>SUM(K65:K85)</f>
        <v>0</v>
      </c>
      <c r="L64" s="49">
        <f>SUM(L65:L85)</f>
        <v>0</v>
      </c>
      <c r="M64" s="39"/>
      <c r="N64" s="5"/>
      <c r="AI64" s="42"/>
      <c r="AS64" s="49">
        <f>SUM(AJ65:AJ85)</f>
        <v>0</v>
      </c>
      <c r="AT64" s="49">
        <f>SUM(AK65:AK85)</f>
        <v>0</v>
      </c>
      <c r="AU64" s="49">
        <f>SUM(AL65:AL85)</f>
        <v>0</v>
      </c>
    </row>
    <row r="65" spans="1:64" ht="12.75">
      <c r="A65" s="4" t="s">
        <v>28</v>
      </c>
      <c r="B65" s="14" t="s">
        <v>65</v>
      </c>
      <c r="C65" s="139" t="s">
        <v>116</v>
      </c>
      <c r="D65" s="140"/>
      <c r="E65" s="140"/>
      <c r="F65" s="140"/>
      <c r="G65" s="14" t="s">
        <v>161</v>
      </c>
      <c r="H65" s="77">
        <v>5.698</v>
      </c>
      <c r="I65" s="26">
        <v>0</v>
      </c>
      <c r="J65" s="26">
        <f>H65*AO65</f>
        <v>0</v>
      </c>
      <c r="K65" s="26">
        <f>H65*AP65</f>
        <v>0</v>
      </c>
      <c r="L65" s="26">
        <f>H65*I65</f>
        <v>0</v>
      </c>
      <c r="M65" s="36" t="s">
        <v>178</v>
      </c>
      <c r="N65" s="5"/>
      <c r="Z65" s="43">
        <f>IF(AQ65="5",BJ65,0)</f>
        <v>0</v>
      </c>
      <c r="AB65" s="43">
        <f>IF(AQ65="1",BH65,0)</f>
        <v>0</v>
      </c>
      <c r="AC65" s="43">
        <f>IF(AQ65="1",BI65,0)</f>
        <v>0</v>
      </c>
      <c r="AD65" s="43">
        <f>IF(AQ65="7",BH65,0)</f>
        <v>0</v>
      </c>
      <c r="AE65" s="43">
        <f>IF(AQ65="7",BI65,0)</f>
        <v>0</v>
      </c>
      <c r="AF65" s="43">
        <f>IF(AQ65="2",BH65,0)</f>
        <v>0</v>
      </c>
      <c r="AG65" s="43">
        <f>IF(AQ65="2",BI65,0)</f>
        <v>0</v>
      </c>
      <c r="AH65" s="43">
        <f>IF(AQ65="0",BJ65,0)</f>
        <v>0</v>
      </c>
      <c r="AI65" s="42"/>
      <c r="AJ65" s="26">
        <f>IF(AN65=0,L65,0)</f>
        <v>0</v>
      </c>
      <c r="AK65" s="26">
        <f>IF(AN65=15,L65,0)</f>
        <v>0</v>
      </c>
      <c r="AL65" s="26">
        <f>IF(AN65=21,L65,0)</f>
        <v>0</v>
      </c>
      <c r="AN65" s="43">
        <v>21</v>
      </c>
      <c r="AO65" s="43">
        <f>I65*0</f>
        <v>0</v>
      </c>
      <c r="AP65" s="43">
        <f>I65*(1-0)</f>
        <v>0</v>
      </c>
      <c r="AQ65" s="44" t="s">
        <v>10</v>
      </c>
      <c r="AV65" s="43">
        <f>AW65+AX65</f>
        <v>0</v>
      </c>
      <c r="AW65" s="43">
        <f>H65*AO65</f>
        <v>0</v>
      </c>
      <c r="AX65" s="43">
        <f>H65*AP65</f>
        <v>0</v>
      </c>
      <c r="AY65" s="46" t="s">
        <v>192</v>
      </c>
      <c r="AZ65" s="46" t="s">
        <v>196</v>
      </c>
      <c r="BA65" s="42" t="s">
        <v>197</v>
      </c>
      <c r="BC65" s="43">
        <f>AW65+AX65</f>
        <v>0</v>
      </c>
      <c r="BD65" s="43">
        <f>I65/(100-BE65)*100</f>
        <v>0</v>
      </c>
      <c r="BE65" s="43">
        <v>0</v>
      </c>
      <c r="BF65" s="43">
        <f>65</f>
        <v>65</v>
      </c>
      <c r="BH65" s="26">
        <f>H65*AO65</f>
        <v>0</v>
      </c>
      <c r="BI65" s="26">
        <f>H65*AP65</f>
        <v>0</v>
      </c>
      <c r="BJ65" s="26">
        <f>H65*I65</f>
        <v>0</v>
      </c>
      <c r="BK65" s="26" t="s">
        <v>202</v>
      </c>
      <c r="BL65" s="43" t="s">
        <v>64</v>
      </c>
    </row>
    <row r="66" spans="1:14" ht="12.75">
      <c r="A66" s="5"/>
      <c r="C66" s="18" t="s">
        <v>117</v>
      </c>
      <c r="F66" s="21" t="s">
        <v>149</v>
      </c>
      <c r="H66" s="78">
        <v>4.6</v>
      </c>
      <c r="M66" s="37"/>
      <c r="N66" s="5"/>
    </row>
    <row r="67" spans="1:14" ht="12.75">
      <c r="A67" s="5"/>
      <c r="C67" s="18" t="s">
        <v>118</v>
      </c>
      <c r="F67" s="21" t="s">
        <v>150</v>
      </c>
      <c r="H67" s="78">
        <v>0.312</v>
      </c>
      <c r="M67" s="37"/>
      <c r="N67" s="5"/>
    </row>
    <row r="68" spans="1:14" ht="12.75">
      <c r="A68" s="5"/>
      <c r="C68" s="18" t="s">
        <v>119</v>
      </c>
      <c r="F68" s="21" t="s">
        <v>151</v>
      </c>
      <c r="H68" s="78">
        <v>0.786</v>
      </c>
      <c r="M68" s="37"/>
      <c r="N68" s="5"/>
    </row>
    <row r="69" spans="1:64" ht="12.75">
      <c r="A69" s="4" t="s">
        <v>29</v>
      </c>
      <c r="B69" s="14" t="s">
        <v>66</v>
      </c>
      <c r="C69" s="139" t="s">
        <v>120</v>
      </c>
      <c r="D69" s="140"/>
      <c r="E69" s="140"/>
      <c r="F69" s="140"/>
      <c r="G69" s="14" t="s">
        <v>161</v>
      </c>
      <c r="H69" s="77">
        <v>17.093</v>
      </c>
      <c r="I69" s="26">
        <v>0</v>
      </c>
      <c r="J69" s="26">
        <f>H69*AO69</f>
        <v>0</v>
      </c>
      <c r="K69" s="26">
        <f>H69*AP69</f>
        <v>0</v>
      </c>
      <c r="L69" s="26">
        <f>H69*I69</f>
        <v>0</v>
      </c>
      <c r="M69" s="36" t="s">
        <v>178</v>
      </c>
      <c r="N69" s="5"/>
      <c r="Z69" s="43">
        <f>IF(AQ69="5",BJ69,0)</f>
        <v>0</v>
      </c>
      <c r="AB69" s="43">
        <f>IF(AQ69="1",BH69,0)</f>
        <v>0</v>
      </c>
      <c r="AC69" s="43">
        <f>IF(AQ69="1",BI69,0)</f>
        <v>0</v>
      </c>
      <c r="AD69" s="43">
        <f>IF(AQ69="7",BH69,0)</f>
        <v>0</v>
      </c>
      <c r="AE69" s="43">
        <f>IF(AQ69="7",BI69,0)</f>
        <v>0</v>
      </c>
      <c r="AF69" s="43">
        <f>IF(AQ69="2",BH69,0)</f>
        <v>0</v>
      </c>
      <c r="AG69" s="43">
        <f>IF(AQ69="2",BI69,0)</f>
        <v>0</v>
      </c>
      <c r="AH69" s="43">
        <f>IF(AQ69="0",BJ69,0)</f>
        <v>0</v>
      </c>
      <c r="AI69" s="42"/>
      <c r="AJ69" s="26">
        <f>IF(AN69=0,L69,0)</f>
        <v>0</v>
      </c>
      <c r="AK69" s="26">
        <f>IF(AN69=15,L69,0)</f>
        <v>0</v>
      </c>
      <c r="AL69" s="26">
        <f>IF(AN69=21,L69,0)</f>
        <v>0</v>
      </c>
      <c r="AN69" s="43">
        <v>21</v>
      </c>
      <c r="AO69" s="43">
        <f>I69*0</f>
        <v>0</v>
      </c>
      <c r="AP69" s="43">
        <f>I69*(1-0)</f>
        <v>0</v>
      </c>
      <c r="AQ69" s="44" t="s">
        <v>10</v>
      </c>
      <c r="AV69" s="43">
        <f>AW69+AX69</f>
        <v>0</v>
      </c>
      <c r="AW69" s="43">
        <f>H69*AO69</f>
        <v>0</v>
      </c>
      <c r="AX69" s="43">
        <f>H69*AP69</f>
        <v>0</v>
      </c>
      <c r="AY69" s="46" t="s">
        <v>192</v>
      </c>
      <c r="AZ69" s="46" t="s">
        <v>196</v>
      </c>
      <c r="BA69" s="42" t="s">
        <v>197</v>
      </c>
      <c r="BC69" s="43">
        <f>AW69+AX69</f>
        <v>0</v>
      </c>
      <c r="BD69" s="43">
        <f>I69/(100-BE69)*100</f>
        <v>0</v>
      </c>
      <c r="BE69" s="43">
        <v>0</v>
      </c>
      <c r="BF69" s="43">
        <f>69</f>
        <v>69</v>
      </c>
      <c r="BH69" s="26">
        <f>H69*AO69</f>
        <v>0</v>
      </c>
      <c r="BI69" s="26">
        <f>H69*AP69</f>
        <v>0</v>
      </c>
      <c r="BJ69" s="26">
        <f>H69*I69</f>
        <v>0</v>
      </c>
      <c r="BK69" s="26" t="s">
        <v>202</v>
      </c>
      <c r="BL69" s="43" t="s">
        <v>64</v>
      </c>
    </row>
    <row r="70" spans="1:14" ht="12.75">
      <c r="A70" s="5"/>
      <c r="C70" s="18" t="s">
        <v>121</v>
      </c>
      <c r="F70" s="21" t="s">
        <v>152</v>
      </c>
      <c r="H70" s="78">
        <v>13.8</v>
      </c>
      <c r="M70" s="37"/>
      <c r="N70" s="5"/>
    </row>
    <row r="71" spans="1:14" ht="12.75">
      <c r="A71" s="5"/>
      <c r="C71" s="18" t="s">
        <v>122</v>
      </c>
      <c r="F71" s="21" t="s">
        <v>153</v>
      </c>
      <c r="H71" s="78">
        <v>0.936</v>
      </c>
      <c r="M71" s="37"/>
      <c r="N71" s="5"/>
    </row>
    <row r="72" spans="1:14" ht="12.75">
      <c r="A72" s="5"/>
      <c r="C72" s="18" t="s">
        <v>123</v>
      </c>
      <c r="F72" s="21" t="s">
        <v>154</v>
      </c>
      <c r="H72" s="78">
        <v>2.357</v>
      </c>
      <c r="M72" s="37"/>
      <c r="N72" s="5"/>
    </row>
    <row r="73" spans="1:64" ht="12.75">
      <c r="A73" s="4" t="s">
        <v>30</v>
      </c>
      <c r="B73" s="14" t="s">
        <v>67</v>
      </c>
      <c r="C73" s="139" t="s">
        <v>124</v>
      </c>
      <c r="D73" s="140"/>
      <c r="E73" s="140"/>
      <c r="F73" s="140"/>
      <c r="G73" s="14" t="s">
        <v>161</v>
      </c>
      <c r="H73" s="77">
        <v>5.698</v>
      </c>
      <c r="I73" s="26">
        <v>0</v>
      </c>
      <c r="J73" s="26">
        <f>H73*AO73</f>
        <v>0</v>
      </c>
      <c r="K73" s="26">
        <f>H73*AP73</f>
        <v>0</v>
      </c>
      <c r="L73" s="26">
        <f>H73*I73</f>
        <v>0</v>
      </c>
      <c r="M73" s="36" t="s">
        <v>178</v>
      </c>
      <c r="N73" s="5"/>
      <c r="Z73" s="43">
        <f>IF(AQ73="5",BJ73,0)</f>
        <v>0</v>
      </c>
      <c r="AB73" s="43">
        <f>IF(AQ73="1",BH73,0)</f>
        <v>0</v>
      </c>
      <c r="AC73" s="43">
        <f>IF(AQ73="1",BI73,0)</f>
        <v>0</v>
      </c>
      <c r="AD73" s="43">
        <f>IF(AQ73="7",BH73,0)</f>
        <v>0</v>
      </c>
      <c r="AE73" s="43">
        <f>IF(AQ73="7",BI73,0)</f>
        <v>0</v>
      </c>
      <c r="AF73" s="43">
        <f>IF(AQ73="2",BH73,0)</f>
        <v>0</v>
      </c>
      <c r="AG73" s="43">
        <f>IF(AQ73="2",BI73,0)</f>
        <v>0</v>
      </c>
      <c r="AH73" s="43">
        <f>IF(AQ73="0",BJ73,0)</f>
        <v>0</v>
      </c>
      <c r="AI73" s="42"/>
      <c r="AJ73" s="26">
        <f>IF(AN73=0,L73,0)</f>
        <v>0</v>
      </c>
      <c r="AK73" s="26">
        <f>IF(AN73=15,L73,0)</f>
        <v>0</v>
      </c>
      <c r="AL73" s="26">
        <f>IF(AN73=21,L73,0)</f>
        <v>0</v>
      </c>
      <c r="AN73" s="43">
        <v>21</v>
      </c>
      <c r="AO73" s="43">
        <f>I73*0</f>
        <v>0</v>
      </c>
      <c r="AP73" s="43">
        <f>I73*(1-0)</f>
        <v>0</v>
      </c>
      <c r="AQ73" s="44" t="s">
        <v>10</v>
      </c>
      <c r="AV73" s="43">
        <f>AW73+AX73</f>
        <v>0</v>
      </c>
      <c r="AW73" s="43">
        <f>H73*AO73</f>
        <v>0</v>
      </c>
      <c r="AX73" s="43">
        <f>H73*AP73</f>
        <v>0</v>
      </c>
      <c r="AY73" s="46" t="s">
        <v>192</v>
      </c>
      <c r="AZ73" s="46" t="s">
        <v>196</v>
      </c>
      <c r="BA73" s="42" t="s">
        <v>197</v>
      </c>
      <c r="BC73" s="43">
        <f>AW73+AX73</f>
        <v>0</v>
      </c>
      <c r="BD73" s="43">
        <f>I73/(100-BE73)*100</f>
        <v>0</v>
      </c>
      <c r="BE73" s="43">
        <v>0</v>
      </c>
      <c r="BF73" s="43">
        <f>73</f>
        <v>73</v>
      </c>
      <c r="BH73" s="26">
        <f>H73*AO73</f>
        <v>0</v>
      </c>
      <c r="BI73" s="26">
        <f>H73*AP73</f>
        <v>0</v>
      </c>
      <c r="BJ73" s="26">
        <f>H73*I73</f>
        <v>0</v>
      </c>
      <c r="BK73" s="26" t="s">
        <v>202</v>
      </c>
      <c r="BL73" s="43" t="s">
        <v>64</v>
      </c>
    </row>
    <row r="74" spans="1:14" ht="12.75">
      <c r="A74" s="5"/>
      <c r="C74" s="18" t="s">
        <v>117</v>
      </c>
      <c r="F74" s="21" t="s">
        <v>149</v>
      </c>
      <c r="H74" s="78">
        <v>4.6</v>
      </c>
      <c r="M74" s="37"/>
      <c r="N74" s="5"/>
    </row>
    <row r="75" spans="1:14" ht="12.75">
      <c r="A75" s="5"/>
      <c r="C75" s="18" t="s">
        <v>118</v>
      </c>
      <c r="F75" s="21" t="s">
        <v>150</v>
      </c>
      <c r="H75" s="78">
        <v>0.312</v>
      </c>
      <c r="M75" s="37"/>
      <c r="N75" s="5"/>
    </row>
    <row r="76" spans="1:14" ht="12.75">
      <c r="A76" s="5"/>
      <c r="C76" s="18" t="s">
        <v>119</v>
      </c>
      <c r="F76" s="21" t="s">
        <v>154</v>
      </c>
      <c r="H76" s="78">
        <v>0.786</v>
      </c>
      <c r="M76" s="37"/>
      <c r="N76" s="5"/>
    </row>
    <row r="77" spans="1:64" ht="12.75">
      <c r="A77" s="4" t="s">
        <v>31</v>
      </c>
      <c r="B77" s="14" t="s">
        <v>68</v>
      </c>
      <c r="C77" s="139" t="s">
        <v>125</v>
      </c>
      <c r="D77" s="140"/>
      <c r="E77" s="140"/>
      <c r="F77" s="140"/>
      <c r="G77" s="14" t="s">
        <v>161</v>
      </c>
      <c r="H77" s="77">
        <v>79.769</v>
      </c>
      <c r="I77" s="26">
        <v>0</v>
      </c>
      <c r="J77" s="26">
        <f>H77*AO77</f>
        <v>0</v>
      </c>
      <c r="K77" s="26">
        <f>H77*AP77</f>
        <v>0</v>
      </c>
      <c r="L77" s="26">
        <f>H77*I77</f>
        <v>0</v>
      </c>
      <c r="M77" s="36" t="s">
        <v>178</v>
      </c>
      <c r="N77" s="5"/>
      <c r="Z77" s="43">
        <f>IF(AQ77="5",BJ77,0)</f>
        <v>0</v>
      </c>
      <c r="AB77" s="43">
        <f>IF(AQ77="1",BH77,0)</f>
        <v>0</v>
      </c>
      <c r="AC77" s="43">
        <f>IF(AQ77="1",BI77,0)</f>
        <v>0</v>
      </c>
      <c r="AD77" s="43">
        <f>IF(AQ77="7",BH77,0)</f>
        <v>0</v>
      </c>
      <c r="AE77" s="43">
        <f>IF(AQ77="7",BI77,0)</f>
        <v>0</v>
      </c>
      <c r="AF77" s="43">
        <f>IF(AQ77="2",BH77,0)</f>
        <v>0</v>
      </c>
      <c r="AG77" s="43">
        <f>IF(AQ77="2",BI77,0)</f>
        <v>0</v>
      </c>
      <c r="AH77" s="43">
        <f>IF(AQ77="0",BJ77,0)</f>
        <v>0</v>
      </c>
      <c r="AI77" s="42"/>
      <c r="AJ77" s="26">
        <f>IF(AN77=0,L77,0)</f>
        <v>0</v>
      </c>
      <c r="AK77" s="26">
        <f>IF(AN77=15,L77,0)</f>
        <v>0</v>
      </c>
      <c r="AL77" s="26">
        <f>IF(AN77=21,L77,0)</f>
        <v>0</v>
      </c>
      <c r="AN77" s="43">
        <v>21</v>
      </c>
      <c r="AO77" s="43">
        <f>I77*0</f>
        <v>0</v>
      </c>
      <c r="AP77" s="43">
        <f>I77*(1-0)</f>
        <v>0</v>
      </c>
      <c r="AQ77" s="44" t="s">
        <v>10</v>
      </c>
      <c r="AV77" s="43">
        <f>AW77+AX77</f>
        <v>0</v>
      </c>
      <c r="AW77" s="43">
        <f>H77*AO77</f>
        <v>0</v>
      </c>
      <c r="AX77" s="43">
        <f>H77*AP77</f>
        <v>0</v>
      </c>
      <c r="AY77" s="46" t="s">
        <v>192</v>
      </c>
      <c r="AZ77" s="46" t="s">
        <v>196</v>
      </c>
      <c r="BA77" s="42" t="s">
        <v>197</v>
      </c>
      <c r="BC77" s="43">
        <f>AW77+AX77</f>
        <v>0</v>
      </c>
      <c r="BD77" s="43">
        <f>I77/(100-BE77)*100</f>
        <v>0</v>
      </c>
      <c r="BE77" s="43">
        <v>0</v>
      </c>
      <c r="BF77" s="43">
        <f>77</f>
        <v>77</v>
      </c>
      <c r="BH77" s="26">
        <f>H77*AO77</f>
        <v>0</v>
      </c>
      <c r="BI77" s="26">
        <f>H77*AP77</f>
        <v>0</v>
      </c>
      <c r="BJ77" s="26">
        <f>H77*I77</f>
        <v>0</v>
      </c>
      <c r="BK77" s="26" t="s">
        <v>202</v>
      </c>
      <c r="BL77" s="43" t="s">
        <v>64</v>
      </c>
    </row>
    <row r="78" spans="1:14" ht="12.75">
      <c r="A78" s="5"/>
      <c r="C78" s="18" t="s">
        <v>126</v>
      </c>
      <c r="F78" s="21" t="s">
        <v>149</v>
      </c>
      <c r="H78" s="78">
        <v>64.401</v>
      </c>
      <c r="M78" s="37"/>
      <c r="N78" s="5"/>
    </row>
    <row r="79" spans="1:14" ht="12.75">
      <c r="A79" s="5"/>
      <c r="C79" s="18" t="s">
        <v>127</v>
      </c>
      <c r="F79" s="21" t="s">
        <v>150</v>
      </c>
      <c r="H79" s="78">
        <v>4.368</v>
      </c>
      <c r="M79" s="37"/>
      <c r="N79" s="5"/>
    </row>
    <row r="80" spans="1:14" ht="12.75">
      <c r="A80" s="5"/>
      <c r="C80" s="18" t="s">
        <v>128</v>
      </c>
      <c r="F80" s="21" t="s">
        <v>154</v>
      </c>
      <c r="H80" s="78">
        <v>11</v>
      </c>
      <c r="M80" s="37"/>
      <c r="N80" s="5"/>
    </row>
    <row r="81" spans="1:64" ht="12.75">
      <c r="A81" s="4" t="s">
        <v>32</v>
      </c>
      <c r="B81" s="14" t="s">
        <v>69</v>
      </c>
      <c r="C81" s="139" t="s">
        <v>129</v>
      </c>
      <c r="D81" s="140"/>
      <c r="E81" s="140"/>
      <c r="F81" s="140"/>
      <c r="G81" s="14" t="s">
        <v>161</v>
      </c>
      <c r="H81" s="77">
        <v>4.6</v>
      </c>
      <c r="I81" s="26">
        <v>0</v>
      </c>
      <c r="J81" s="26">
        <f>H81*AO81</f>
        <v>0</v>
      </c>
      <c r="K81" s="26">
        <f>H81*AP81</f>
        <v>0</v>
      </c>
      <c r="L81" s="26">
        <f>H81*I81</f>
        <v>0</v>
      </c>
      <c r="M81" s="36" t="s">
        <v>178</v>
      </c>
      <c r="N81" s="5"/>
      <c r="Z81" s="43">
        <f>IF(AQ81="5",BJ81,0)</f>
        <v>0</v>
      </c>
      <c r="AB81" s="43">
        <f>IF(AQ81="1",BH81,0)</f>
        <v>0</v>
      </c>
      <c r="AC81" s="43">
        <f>IF(AQ81="1",BI81,0)</f>
        <v>0</v>
      </c>
      <c r="AD81" s="43">
        <f>IF(AQ81="7",BH81,0)</f>
        <v>0</v>
      </c>
      <c r="AE81" s="43">
        <f>IF(AQ81="7",BI81,0)</f>
        <v>0</v>
      </c>
      <c r="AF81" s="43">
        <f>IF(AQ81="2",BH81,0)</f>
        <v>0</v>
      </c>
      <c r="AG81" s="43">
        <f>IF(AQ81="2",BI81,0)</f>
        <v>0</v>
      </c>
      <c r="AH81" s="43">
        <f>IF(AQ81="0",BJ81,0)</f>
        <v>0</v>
      </c>
      <c r="AI81" s="42"/>
      <c r="AJ81" s="26">
        <f>IF(AN81=0,L81,0)</f>
        <v>0</v>
      </c>
      <c r="AK81" s="26">
        <f>IF(AN81=15,L81,0)</f>
        <v>0</v>
      </c>
      <c r="AL81" s="26">
        <f>IF(AN81=21,L81,0)</f>
        <v>0</v>
      </c>
      <c r="AN81" s="43">
        <v>21</v>
      </c>
      <c r="AO81" s="43">
        <f>I81*0</f>
        <v>0</v>
      </c>
      <c r="AP81" s="43">
        <f>I81*(1-0)</f>
        <v>0</v>
      </c>
      <c r="AQ81" s="44" t="s">
        <v>10</v>
      </c>
      <c r="AV81" s="43">
        <f>AW81+AX81</f>
        <v>0</v>
      </c>
      <c r="AW81" s="43">
        <f>H81*AO81</f>
        <v>0</v>
      </c>
      <c r="AX81" s="43">
        <f>H81*AP81</f>
        <v>0</v>
      </c>
      <c r="AY81" s="46" t="s">
        <v>192</v>
      </c>
      <c r="AZ81" s="46" t="s">
        <v>196</v>
      </c>
      <c r="BA81" s="42" t="s">
        <v>197</v>
      </c>
      <c r="BC81" s="43">
        <f>AW81+AX81</f>
        <v>0</v>
      </c>
      <c r="BD81" s="43">
        <f>I81/(100-BE81)*100</f>
        <v>0</v>
      </c>
      <c r="BE81" s="43">
        <v>0</v>
      </c>
      <c r="BF81" s="43">
        <f>81</f>
        <v>81</v>
      </c>
      <c r="BH81" s="26">
        <f>H81*AO81</f>
        <v>0</v>
      </c>
      <c r="BI81" s="26">
        <f>H81*AP81</f>
        <v>0</v>
      </c>
      <c r="BJ81" s="26">
        <f>H81*I81</f>
        <v>0</v>
      </c>
      <c r="BK81" s="26" t="s">
        <v>202</v>
      </c>
      <c r="BL81" s="43" t="s">
        <v>64</v>
      </c>
    </row>
    <row r="82" spans="1:14" ht="12.75">
      <c r="A82" s="5"/>
      <c r="C82" s="18" t="s">
        <v>117</v>
      </c>
      <c r="F82" s="21" t="s">
        <v>149</v>
      </c>
      <c r="H82" s="78">
        <v>4.6</v>
      </c>
      <c r="M82" s="37"/>
      <c r="N82" s="5"/>
    </row>
    <row r="83" spans="1:64" ht="12.75">
      <c r="A83" s="4" t="s">
        <v>33</v>
      </c>
      <c r="B83" s="14" t="s">
        <v>70</v>
      </c>
      <c r="C83" s="139" t="s">
        <v>130</v>
      </c>
      <c r="D83" s="140"/>
      <c r="E83" s="140"/>
      <c r="F83" s="140"/>
      <c r="G83" s="14" t="s">
        <v>161</v>
      </c>
      <c r="H83" s="77">
        <v>0.786</v>
      </c>
      <c r="I83" s="26">
        <v>0</v>
      </c>
      <c r="J83" s="26">
        <f>H83*AO83</f>
        <v>0</v>
      </c>
      <c r="K83" s="26">
        <f>H83*AP83</f>
        <v>0</v>
      </c>
      <c r="L83" s="26">
        <f>H83*I83</f>
        <v>0</v>
      </c>
      <c r="M83" s="36" t="s">
        <v>178</v>
      </c>
      <c r="N83" s="5"/>
      <c r="Z83" s="43">
        <f>IF(AQ83="5",BJ83,0)</f>
        <v>0</v>
      </c>
      <c r="AB83" s="43">
        <f>IF(AQ83="1",BH83,0)</f>
        <v>0</v>
      </c>
      <c r="AC83" s="43">
        <f>IF(AQ83="1",BI83,0)</f>
        <v>0</v>
      </c>
      <c r="AD83" s="43">
        <f>IF(AQ83="7",BH83,0)</f>
        <v>0</v>
      </c>
      <c r="AE83" s="43">
        <f>IF(AQ83="7",BI83,0)</f>
        <v>0</v>
      </c>
      <c r="AF83" s="43">
        <f>IF(AQ83="2",BH83,0)</f>
        <v>0</v>
      </c>
      <c r="AG83" s="43">
        <f>IF(AQ83="2",BI83,0)</f>
        <v>0</v>
      </c>
      <c r="AH83" s="43">
        <f>IF(AQ83="0",BJ83,0)</f>
        <v>0</v>
      </c>
      <c r="AI83" s="42"/>
      <c r="AJ83" s="26">
        <f>IF(AN83=0,L83,0)</f>
        <v>0</v>
      </c>
      <c r="AK83" s="26">
        <f>IF(AN83=15,L83,0)</f>
        <v>0</v>
      </c>
      <c r="AL83" s="26">
        <f>IF(AN83=21,L83,0)</f>
        <v>0</v>
      </c>
      <c r="AN83" s="43">
        <v>21</v>
      </c>
      <c r="AO83" s="43">
        <f>I83*0</f>
        <v>0</v>
      </c>
      <c r="AP83" s="43">
        <f>I83*(1-0)</f>
        <v>0</v>
      </c>
      <c r="AQ83" s="44" t="s">
        <v>10</v>
      </c>
      <c r="AV83" s="43">
        <f>AW83+AX83</f>
        <v>0</v>
      </c>
      <c r="AW83" s="43">
        <f>H83*AO83</f>
        <v>0</v>
      </c>
      <c r="AX83" s="43">
        <f>H83*AP83</f>
        <v>0</v>
      </c>
      <c r="AY83" s="46" t="s">
        <v>192</v>
      </c>
      <c r="AZ83" s="46" t="s">
        <v>196</v>
      </c>
      <c r="BA83" s="42" t="s">
        <v>197</v>
      </c>
      <c r="BC83" s="43">
        <f>AW83+AX83</f>
        <v>0</v>
      </c>
      <c r="BD83" s="43">
        <f>I83/(100-BE83)*100</f>
        <v>0</v>
      </c>
      <c r="BE83" s="43">
        <v>0</v>
      </c>
      <c r="BF83" s="43">
        <f>83</f>
        <v>83</v>
      </c>
      <c r="BH83" s="26">
        <f>H83*AO83</f>
        <v>0</v>
      </c>
      <c r="BI83" s="26">
        <f>H83*AP83</f>
        <v>0</v>
      </c>
      <c r="BJ83" s="26">
        <f>H83*I83</f>
        <v>0</v>
      </c>
      <c r="BK83" s="26" t="s">
        <v>202</v>
      </c>
      <c r="BL83" s="43" t="s">
        <v>64</v>
      </c>
    </row>
    <row r="84" spans="1:14" ht="12.75">
      <c r="A84" s="5"/>
      <c r="C84" s="18" t="s">
        <v>119</v>
      </c>
      <c r="F84" s="21" t="s">
        <v>154</v>
      </c>
      <c r="H84" s="78">
        <v>0.786</v>
      </c>
      <c r="M84" s="37"/>
      <c r="N84" s="5"/>
    </row>
    <row r="85" spans="1:64" ht="12.75">
      <c r="A85" s="4" t="s">
        <v>34</v>
      </c>
      <c r="B85" s="14" t="s">
        <v>71</v>
      </c>
      <c r="C85" s="139" t="s">
        <v>131</v>
      </c>
      <c r="D85" s="140"/>
      <c r="E85" s="140"/>
      <c r="F85" s="140"/>
      <c r="G85" s="14" t="s">
        <v>161</v>
      </c>
      <c r="H85" s="77">
        <v>0.312</v>
      </c>
      <c r="I85" s="26">
        <v>0</v>
      </c>
      <c r="J85" s="26">
        <f>H85*AO85</f>
        <v>0</v>
      </c>
      <c r="K85" s="26">
        <f>H85*AP85</f>
        <v>0</v>
      </c>
      <c r="L85" s="26">
        <f>H85*I85</f>
        <v>0</v>
      </c>
      <c r="M85" s="36" t="s">
        <v>178</v>
      </c>
      <c r="N85" s="5"/>
      <c r="Z85" s="43">
        <f>IF(AQ85="5",BJ85,0)</f>
        <v>0</v>
      </c>
      <c r="AB85" s="43">
        <f>IF(AQ85="1",BH85,0)</f>
        <v>0</v>
      </c>
      <c r="AC85" s="43">
        <f>IF(AQ85="1",BI85,0)</f>
        <v>0</v>
      </c>
      <c r="AD85" s="43">
        <f>IF(AQ85="7",BH85,0)</f>
        <v>0</v>
      </c>
      <c r="AE85" s="43">
        <f>IF(AQ85="7",BI85,0)</f>
        <v>0</v>
      </c>
      <c r="AF85" s="43">
        <f>IF(AQ85="2",BH85,0)</f>
        <v>0</v>
      </c>
      <c r="AG85" s="43">
        <f>IF(AQ85="2",BI85,0)</f>
        <v>0</v>
      </c>
      <c r="AH85" s="43">
        <f>IF(AQ85="0",BJ85,0)</f>
        <v>0</v>
      </c>
      <c r="AI85" s="42"/>
      <c r="AJ85" s="26">
        <f>IF(AN85=0,L85,0)</f>
        <v>0</v>
      </c>
      <c r="AK85" s="26">
        <f>IF(AN85=15,L85,0)</f>
        <v>0</v>
      </c>
      <c r="AL85" s="26">
        <f>IF(AN85=21,L85,0)</f>
        <v>0</v>
      </c>
      <c r="AN85" s="43">
        <v>21</v>
      </c>
      <c r="AO85" s="43">
        <f>I85*0</f>
        <v>0</v>
      </c>
      <c r="AP85" s="43">
        <f>I85*(1-0)</f>
        <v>0</v>
      </c>
      <c r="AQ85" s="44" t="s">
        <v>10</v>
      </c>
      <c r="AV85" s="43">
        <f>AW85+AX85</f>
        <v>0</v>
      </c>
      <c r="AW85" s="43">
        <f>H85*AO85</f>
        <v>0</v>
      </c>
      <c r="AX85" s="43">
        <f>H85*AP85</f>
        <v>0</v>
      </c>
      <c r="AY85" s="46" t="s">
        <v>192</v>
      </c>
      <c r="AZ85" s="46" t="s">
        <v>196</v>
      </c>
      <c r="BA85" s="42" t="s">
        <v>197</v>
      </c>
      <c r="BC85" s="43">
        <f>AW85+AX85</f>
        <v>0</v>
      </c>
      <c r="BD85" s="43">
        <f>I85/(100-BE85)*100</f>
        <v>0</v>
      </c>
      <c r="BE85" s="43">
        <v>0</v>
      </c>
      <c r="BF85" s="43">
        <f>85</f>
        <v>85</v>
      </c>
      <c r="BH85" s="26">
        <f>H85*AO85</f>
        <v>0</v>
      </c>
      <c r="BI85" s="26">
        <f>H85*AP85</f>
        <v>0</v>
      </c>
      <c r="BJ85" s="26">
        <f>H85*I85</f>
        <v>0</v>
      </c>
      <c r="BK85" s="26" t="s">
        <v>202</v>
      </c>
      <c r="BL85" s="43" t="s">
        <v>64</v>
      </c>
    </row>
    <row r="86" spans="1:14" ht="12.75">
      <c r="A86" s="8"/>
      <c r="B86" s="17"/>
      <c r="C86" s="19" t="s">
        <v>118</v>
      </c>
      <c r="D86" s="17"/>
      <c r="E86" s="17"/>
      <c r="F86" s="22" t="s">
        <v>150</v>
      </c>
      <c r="G86" s="17"/>
      <c r="H86" s="80">
        <v>0.312</v>
      </c>
      <c r="I86" s="17"/>
      <c r="J86" s="17"/>
      <c r="K86" s="17"/>
      <c r="L86" s="17"/>
      <c r="M86" s="40"/>
      <c r="N86" s="5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145" t="s">
        <v>173</v>
      </c>
      <c r="K87" s="88"/>
      <c r="L87" s="50">
        <f>L12+L30+L58+L61+L64</f>
        <v>0</v>
      </c>
      <c r="M87" s="9"/>
    </row>
    <row r="88" ht="11.25" customHeight="1">
      <c r="A88" s="10" t="s">
        <v>35</v>
      </c>
    </row>
    <row r="89" spans="1:13" ht="12.75">
      <c r="A89" s="94" t="s">
        <v>36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</sheetData>
  <sheetProtection/>
  <mergeCells count="64">
    <mergeCell ref="C85:F85"/>
    <mergeCell ref="J87:K87"/>
    <mergeCell ref="A89:M89"/>
    <mergeCell ref="C65:F65"/>
    <mergeCell ref="C69:F69"/>
    <mergeCell ref="C73:F73"/>
    <mergeCell ref="C77:F77"/>
    <mergeCell ref="C81:F81"/>
    <mergeCell ref="C83:F83"/>
    <mergeCell ref="C57:F57"/>
    <mergeCell ref="C58:F58"/>
    <mergeCell ref="C59:F59"/>
    <mergeCell ref="C61:F61"/>
    <mergeCell ref="C62:F62"/>
    <mergeCell ref="C64:F64"/>
    <mergeCell ref="C45:F45"/>
    <mergeCell ref="C47:F47"/>
    <mergeCell ref="C49:F49"/>
    <mergeCell ref="C51:F51"/>
    <mergeCell ref="C53:F53"/>
    <mergeCell ref="C55:F55"/>
    <mergeCell ref="C33:F33"/>
    <mergeCell ref="C35:F35"/>
    <mergeCell ref="C37:F37"/>
    <mergeCell ref="C39:F39"/>
    <mergeCell ref="C41:F41"/>
    <mergeCell ref="C43:F43"/>
    <mergeCell ref="C21:F21"/>
    <mergeCell ref="C25:F25"/>
    <mergeCell ref="C27:F27"/>
    <mergeCell ref="C29:F29"/>
    <mergeCell ref="C30:F30"/>
    <mergeCell ref="C31:F31"/>
    <mergeCell ref="C10:F10"/>
    <mergeCell ref="J10:L10"/>
    <mergeCell ref="C11:F11"/>
    <mergeCell ref="C12:F12"/>
    <mergeCell ref="C13:F13"/>
    <mergeCell ref="C17:F17"/>
    <mergeCell ref="A8:B9"/>
    <mergeCell ref="C8:D9"/>
    <mergeCell ref="E8:F9"/>
    <mergeCell ref="G8:H9"/>
    <mergeCell ref="I8:I9"/>
    <mergeCell ref="J8:M9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Šida</cp:lastModifiedBy>
  <dcterms:modified xsi:type="dcterms:W3CDTF">2021-09-10T09:43:33Z</dcterms:modified>
  <cp:category/>
  <cp:version/>
  <cp:contentType/>
  <cp:contentStatus/>
</cp:coreProperties>
</file>