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<sst xmlns="http://schemas.openxmlformats.org/spreadsheetml/2006/main" count="3538" uniqueCount="1307">
  <si>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</si>
  <si>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</si>
  <si>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</si>
  <si>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</si>
  <si>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</si>
  <si>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</si>
  <si>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</si>
  <si>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</si>
  <si>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</si>
  <si>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</si>
  <si>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</si>
  <si>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</si>
  <si>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</si>
  <si>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</si>
  <si>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</si>
  <si>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</si>
  <si>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</si>
  <si>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</si>
  <si>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</si>
  <si>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</si>
  <si>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</si>
  <si>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</si>
  <si>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</si>
  <si>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</si>
  <si>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</si>
  <si>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</si>
  <si>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</si>
  <si>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</si>
  <si>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</si>
  <si>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</si>
  <si>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</si>
  <si>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</si>
  <si>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</si>
  <si>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</si>
  <si>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</si>
  <si>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</si>
  <si>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</si>
  <si>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</si>
  <si>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</si>
  <si>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</si>
  <si>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</si>
  <si>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</si>
  <si>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</si>
  <si>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</si>
  <si>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</si>
  <si>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</si>
  <si>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</si>
  <si>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</si>
  <si>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</si>
  <si>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</si>
  <si>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</si>
  <si>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</si>
  <si>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</si>
  <si>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</si>
  <si>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</si>
  <si>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</si>
  <si>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</si>
  <si>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</si>
  <si>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</si>
  <si>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</si>
  <si>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</si>
  <si>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</si>
  <si>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</si>
  <si>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</si>
  <si>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</si>
  <si>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</si>
  <si>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</si>
  <si>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</si>
  <si>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</si>
  <si>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</si>
  <si>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</si>
  <si>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</si>
  <si>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</si>
  <si>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</si>
  <si>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</si>
  <si>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</si>
  <si>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</si>
  <si>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</si>
  <si>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</si>
  <si>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</si>
  <si>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</si>
  <si>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</si>
  <si>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</si>
  <si>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</si>
  <si>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</si>
  <si>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</si>
  <si>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</si>
  <si>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</si>
  <si>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</si>
  <si>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</si>
  <si>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</si>
  <si>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</si>
  <si>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</si>
  <si>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</si>
  <si>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</si>
  <si>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</si>
  <si>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</si>
  <si>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</si>
  <si>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</si>
  <si>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</si>
  <si>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</si>
  <si>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</si>
  <si>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</si>
  <si>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</si>
  <si>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</si>
  <si>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</si>
  <si>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</si>
  <si>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</si>
  <si>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</si>
  <si>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</si>
  <si>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</si>
  <si>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</si>
  <si>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</si>
  <si>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</si>
  <si>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</si>
  <si>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</si>
  <si>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</si>
  <si>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</si>
  <si>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</si>
  <si>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</si>
  <si>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</si>
  <si>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</si>
  <si>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</si>
  <si>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</si>
  <si>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</si>
  <si>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</si>
  <si>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</si>
  <si>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</si>
  <si>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</si>
  <si>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</si>
  <si>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</si>
  <si>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</si>
  <si>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</si>
  <si>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</si>
  <si>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</si>
  <si>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</si>
  <si>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</si>
  <si>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</si>
  <si>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</si>
  <si>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</si>
  <si>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</si>
  <si>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</si>
  <si>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</si>
  <si>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</si>
  <si>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</si>
  <si>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</si>
  <si>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</si>
  <si>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</si>
  <si>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</si>
  <si>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</si>
  <si>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</si>
  <si>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</si>
  <si>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</si>
  <si>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</si>
  <si>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</si>
  <si>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</si>
  <si>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</si>
  <si>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</si>
  <si>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</si>
  <si>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</si>
  <si>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</si>
  <si>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</si>
  <si>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</si>
  <si>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</si>
  <si>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</si>
  <si>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</si>
  <si>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</si>
  <si>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</si>
  <si>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</si>
  <si>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</si>
  <si>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</si>
  <si>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</si>
  <si>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</si>
  <si>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</si>
  <si>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</si>
  <si>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</si>
  <si>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</si>
  <si>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</si>
  <si>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</si>
  <si>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</si>
  <si>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</si>
  <si>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</si>
  <si>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</si>
  <si>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</si>
  <si>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</si>
  <si>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</si>
  <si>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</si>
  <si>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</si>
  <si>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</si>
  <si>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</si>
  <si>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</si>
  <si>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</si>
  <si>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</si>
  <si>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</si>
  <si>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</si>
  <si>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</si>
  <si>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</si>
  <si>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</si>
  <si>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</si>
  <si>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</si>
  <si>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</si>
  <si>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</si>
  <si>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</si>
  <si>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</si>
  <si>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</si>
  <si>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</si>
  <si>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</si>
  <si>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</si>
  <si>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</si>
  <si>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</si>
  <si>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</si>
  <si>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</si>
  <si>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</si>
  <si>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</si>
  <si>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</si>
  <si>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</si>
  <si>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</si>
  <si>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</si>
  <si>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</si>
  <si>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</si>
  <si>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</si>
  <si>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</si>
  <si>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</si>
  <si>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</si>
  <si>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</si>
  <si>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</si>
  <si>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</si>
  <si>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</si>
  <si>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</si>
  <si>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</si>
  <si>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</si>
  <si>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</si>
  <si>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</si>
  <si>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</si>
  <si>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</si>
  <si>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</si>
  <si>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</si>
  <si>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</si>
  <si>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</si>
  <si>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</si>
  <si>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</si>
  <si>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</si>
  <si>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</si>
  <si>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</si>
  <si>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</si>
  <si>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</si>
  <si>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</si>
  <si>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</si>
  <si>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</si>
  <si>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</si>
  <si>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</si>
  <si>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</si>
  <si>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</si>
  <si>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</si>
  <si>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</si>
  <si>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</si>
  <si>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</si>
  <si>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</si>
  <si>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</si>
  <si>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</si>
  <si>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</si>
  <si>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</si>
  <si>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</si>
  <si>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</si>
  <si>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</si>
  <si>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</si>
  <si>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</si>
  <si>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</si>
  <si>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</si>
  <si>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</si>
  <si>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</si>
  <si>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</si>
  <si>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</si>
  <si>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</si>
  <si>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</si>
  <si>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</si>
  <si>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</si>
  <si>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</si>
  <si>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</si>
  <si>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</si>
  <si>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</si>
  <si>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</si>
  <si>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</si>
  <si>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</si>
  <si>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</si>
  <si>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</si>
  <si>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</si>
  <si>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</si>
  <si>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</si>
  <si>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</si>
  <si>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</si>
  <si>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</si>
  <si>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</si>
  <si>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</si>
  <si>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</si>
  <si>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</si>
  <si>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</si>
  <si>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</si>
  <si>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</si>
  <si>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</si>
  <si>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</si>
  <si>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</si>
  <si>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</si>
  <si>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</si>
  <si>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</si>
  <si>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</si>
  <si>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</si>
  <si>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</si>
  <si>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</si>
  <si>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</si>
  <si>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</si>
  <si>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</si>
  <si>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</si>
  <si>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</si>
  <si>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</si>
  <si>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</si>
  <si>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</si>
  <si>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</si>
  <si>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</si>
  <si>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</si>
  <si>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</si>
  <si>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</si>
  <si>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</si>
  <si>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</si>
  <si>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</si>
  <si>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</si>
  <si>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</si>
  <si>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</si>
  <si>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</si>
  <si>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</si>
  <si>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</si>
  <si>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</si>
  <si>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</si>
  <si>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</si>
  <si>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</si>
  <si>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</si>
  <si>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</si>
  <si>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</si>
  <si>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</si>
  <si>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</si>
  <si>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</si>
  <si>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</si>
  <si>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</si>
  <si>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</si>
  <si>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</si>
  <si>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</si>
  <si>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</si>
  <si>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</si>
  <si>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</si>
  <si>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</si>
  <si>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</si>
  <si>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</si>
  <si>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</si>
  <si>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</si>
  <si>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</si>
  <si>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</si>
  <si>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</si>
  <si>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</si>
  <si>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</si>
  <si>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</si>
  <si>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</si>
  <si>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</si>
  <si>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</si>
  <si>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</si>
  <si>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</si>
  <si>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</si>
  <si>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</si>
  <si>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</si>
  <si>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</si>
  <si>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</si>
  <si>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</si>
  <si>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</si>
  <si>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</si>
  <si>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</si>
  <si>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Poznámka:</t>
  </si>
  <si>
    <t>Zhotovitel je povinen si překontrolovat výměry jednotlivých
položek a v případě potřeby chybějící položky doplnit. V
případě neshody mezi výkazem výměr a projektovou 
 dokumentací (textová a výkresová část) je rozhodující pro
dodávku zhotovitele projektová dokumentace.</t>
  </si>
  <si>
    <t>Objekt</t>
  </si>
  <si>
    <t>B</t>
  </si>
  <si>
    <t>A1</t>
  </si>
  <si>
    <t>Kód</t>
  </si>
  <si>
    <t>121101100R00</t>
  </si>
  <si>
    <t>02654935</t>
  </si>
  <si>
    <t>139711101R00</t>
  </si>
  <si>
    <t>151201102R00</t>
  </si>
  <si>
    <t>151201112R00</t>
  </si>
  <si>
    <t>167101101RPř</t>
  </si>
  <si>
    <t>162701105RT6</t>
  </si>
  <si>
    <t>162701109R00</t>
  </si>
  <si>
    <t>175200010RAA</t>
  </si>
  <si>
    <t>175100020RA0</t>
  </si>
  <si>
    <t>175100010RAA</t>
  </si>
  <si>
    <t>184102133R0A</t>
  </si>
  <si>
    <t>271531113R00</t>
  </si>
  <si>
    <t>273323411RT3</t>
  </si>
  <si>
    <t>273361921RT4</t>
  </si>
  <si>
    <t>273353111R00</t>
  </si>
  <si>
    <t>274323411RT5</t>
  </si>
  <si>
    <t>274351215RT1</t>
  </si>
  <si>
    <t>274351216R00</t>
  </si>
  <si>
    <t>274361214R00</t>
  </si>
  <si>
    <t>311237483R0A</t>
  </si>
  <si>
    <t>311237445R0A</t>
  </si>
  <si>
    <t>317120026RAA</t>
  </si>
  <si>
    <t>310238411RT1</t>
  </si>
  <si>
    <t>330321410R00</t>
  </si>
  <si>
    <t>331361221R00</t>
  </si>
  <si>
    <t>331941021R00</t>
  </si>
  <si>
    <t>331351101RT1</t>
  </si>
  <si>
    <t>331351108R00</t>
  </si>
  <si>
    <t>331231146RT2</t>
  </si>
  <si>
    <t>342247542R00</t>
  </si>
  <si>
    <t>342247123R00</t>
  </si>
  <si>
    <t>411321825R00</t>
  </si>
  <si>
    <t>411351213R00</t>
  </si>
  <si>
    <t>411351214R00</t>
  </si>
  <si>
    <t>411351801R00</t>
  </si>
  <si>
    <t>411351802R00</t>
  </si>
  <si>
    <t>411354177R00</t>
  </si>
  <si>
    <t>411354178R00</t>
  </si>
  <si>
    <t>411361821R00</t>
  </si>
  <si>
    <t>417237116R00</t>
  </si>
  <si>
    <t>417321414R00</t>
  </si>
  <si>
    <t>417351115R00</t>
  </si>
  <si>
    <t>417351116R00</t>
  </si>
  <si>
    <t>417361221R00</t>
  </si>
  <si>
    <t>416021128R00</t>
  </si>
  <si>
    <t>581000010RA0</t>
  </si>
  <si>
    <t>611481211RT2</t>
  </si>
  <si>
    <t>601011141RT3</t>
  </si>
  <si>
    <t>612473182R00</t>
  </si>
  <si>
    <t>602011102R00</t>
  </si>
  <si>
    <t>612473186R00</t>
  </si>
  <si>
    <t>611421231RT2</t>
  </si>
  <si>
    <t>612423621R00</t>
  </si>
  <si>
    <t>622300042RAC</t>
  </si>
  <si>
    <t>622300031RAC</t>
  </si>
  <si>
    <t>631312711RN5</t>
  </si>
  <si>
    <t>631319151R00</t>
  </si>
  <si>
    <t>631361921RT2</t>
  </si>
  <si>
    <t>631313911RT44</t>
  </si>
  <si>
    <t>641952341RPP</t>
  </si>
  <si>
    <t>642952110RU5</t>
  </si>
  <si>
    <t>642942221RDP</t>
  </si>
  <si>
    <t>622473187RT2</t>
  </si>
  <si>
    <t>61143174RR</t>
  </si>
  <si>
    <t>642944221RU3</t>
  </si>
  <si>
    <t>64999112VD</t>
  </si>
  <si>
    <t>711</t>
  </si>
  <si>
    <t>711777278R00</t>
  </si>
  <si>
    <t>711171559RT4</t>
  </si>
  <si>
    <t>712</t>
  </si>
  <si>
    <t>712361703RT1</t>
  </si>
  <si>
    <t>712362701R00</t>
  </si>
  <si>
    <t>713</t>
  </si>
  <si>
    <t>713191100RT9</t>
  </si>
  <si>
    <t>713131131RT1</t>
  </si>
  <si>
    <t>713121118R00</t>
  </si>
  <si>
    <t>713111211RK2</t>
  </si>
  <si>
    <t>713141323R00</t>
  </si>
  <si>
    <t>631515492</t>
  </si>
  <si>
    <t>713121111RV5</t>
  </si>
  <si>
    <t>713121111RV4</t>
  </si>
  <si>
    <t>721</t>
  </si>
  <si>
    <t>721176222R00</t>
  </si>
  <si>
    <t>721176223R00</t>
  </si>
  <si>
    <t>721176224R00</t>
  </si>
  <si>
    <t>721176225R00</t>
  </si>
  <si>
    <t>721177727R00</t>
  </si>
  <si>
    <t>721176101R00</t>
  </si>
  <si>
    <t>721176102R00</t>
  </si>
  <si>
    <t>721176103R00</t>
  </si>
  <si>
    <t>721176104R00</t>
  </si>
  <si>
    <t>721176105R00</t>
  </si>
  <si>
    <t>721177435R00</t>
  </si>
  <si>
    <t>721177436R00</t>
  </si>
  <si>
    <t>721177437R00</t>
  </si>
  <si>
    <t>721273150RT1</t>
  </si>
  <si>
    <t>721273180R00</t>
  </si>
  <si>
    <t>721242110RT1</t>
  </si>
  <si>
    <t>721110918R00</t>
  </si>
  <si>
    <t>7212908RVS00</t>
  </si>
  <si>
    <t>721290112R00</t>
  </si>
  <si>
    <t>722</t>
  </si>
  <si>
    <t>722174914R00</t>
  </si>
  <si>
    <t>722172411R00</t>
  </si>
  <si>
    <t>722172412R00</t>
  </si>
  <si>
    <t>722172413R00</t>
  </si>
  <si>
    <t>722181212RT7</t>
  </si>
  <si>
    <t>722181212RT8</t>
  </si>
  <si>
    <t>722181212RT9</t>
  </si>
  <si>
    <t>722181215RT7</t>
  </si>
  <si>
    <t>722181215RT8</t>
  </si>
  <si>
    <t>722181215RU1</t>
  </si>
  <si>
    <t>722200010RA1</t>
  </si>
  <si>
    <t>722202213R00</t>
  </si>
  <si>
    <t>7222456VD</t>
  </si>
  <si>
    <t>722237620R00</t>
  </si>
  <si>
    <t>722238141R00</t>
  </si>
  <si>
    <t>722238142R00</t>
  </si>
  <si>
    <t>722237131R0A</t>
  </si>
  <si>
    <t>722237132R00</t>
  </si>
  <si>
    <t>722202444R00</t>
  </si>
  <si>
    <t>722235641R00</t>
  </si>
  <si>
    <t>722235642R00</t>
  </si>
  <si>
    <t>722235643R00</t>
  </si>
  <si>
    <t>7222151RRA</t>
  </si>
  <si>
    <t>722235576R0A</t>
  </si>
  <si>
    <t>7311313R00</t>
  </si>
  <si>
    <t>731319R00</t>
  </si>
  <si>
    <t>7311311R01</t>
  </si>
  <si>
    <t>460680024R00</t>
  </si>
  <si>
    <t>731218R00</t>
  </si>
  <si>
    <t>722290234R00</t>
  </si>
  <si>
    <t>722280106R00</t>
  </si>
  <si>
    <t>731134R00</t>
  </si>
  <si>
    <t>722191131RRD</t>
  </si>
  <si>
    <t>722131934R00</t>
  </si>
  <si>
    <t>725</t>
  </si>
  <si>
    <t>725860181RT1</t>
  </si>
  <si>
    <t>725980122R00</t>
  </si>
  <si>
    <t>722237621R00</t>
  </si>
  <si>
    <t>725122232R00</t>
  </si>
  <si>
    <t>725017162R00</t>
  </si>
  <si>
    <t>726211122R00</t>
  </si>
  <si>
    <t>725319101R0R</t>
  </si>
  <si>
    <t>7251110002VD</t>
  </si>
  <si>
    <t>725820803R00</t>
  </si>
  <si>
    <t>725845111RT2</t>
  </si>
  <si>
    <t>725823111RT2</t>
  </si>
  <si>
    <t>725823114R00</t>
  </si>
  <si>
    <t>728</t>
  </si>
  <si>
    <t>728112112R00</t>
  </si>
  <si>
    <t>728112112RAA</t>
  </si>
  <si>
    <t>728112112RBB</t>
  </si>
  <si>
    <t>728112112RBC</t>
  </si>
  <si>
    <t>7286148RAB</t>
  </si>
  <si>
    <t>210020932RRR</t>
  </si>
  <si>
    <t>72816RRB</t>
  </si>
  <si>
    <t>72816RRA</t>
  </si>
  <si>
    <t>728612200</t>
  </si>
  <si>
    <t>7286122RAB</t>
  </si>
  <si>
    <t>7286122RRA</t>
  </si>
  <si>
    <t>713411123R00</t>
  </si>
  <si>
    <t>7281RRB</t>
  </si>
  <si>
    <t>728616211R00</t>
  </si>
  <si>
    <t>7286122RAc</t>
  </si>
  <si>
    <t>72818R00</t>
  </si>
  <si>
    <t>72812RAR</t>
  </si>
  <si>
    <t>728314121R00</t>
  </si>
  <si>
    <t>731</t>
  </si>
  <si>
    <t>7311313RA1</t>
  </si>
  <si>
    <t>7311314RDB</t>
  </si>
  <si>
    <t>731249321R02</t>
  </si>
  <si>
    <t>953832216R00</t>
  </si>
  <si>
    <t>731100852R00</t>
  </si>
  <si>
    <t>73113R00</t>
  </si>
  <si>
    <t>733</t>
  </si>
  <si>
    <t>733164102RT5</t>
  </si>
  <si>
    <t>733164103RT5</t>
  </si>
  <si>
    <t>733164104RT5</t>
  </si>
  <si>
    <t>733164105RT5</t>
  </si>
  <si>
    <t>733191111R00</t>
  </si>
  <si>
    <t>733191112R00</t>
  </si>
  <si>
    <t>722181223RT5</t>
  </si>
  <si>
    <t>722181223RT6</t>
  </si>
  <si>
    <t>722181223RT7</t>
  </si>
  <si>
    <t>722181223RT9</t>
  </si>
  <si>
    <t>733190108R00</t>
  </si>
  <si>
    <t>735</t>
  </si>
  <si>
    <t>735151661R00</t>
  </si>
  <si>
    <t>735151662R00</t>
  </si>
  <si>
    <t>735151669R00</t>
  </si>
  <si>
    <t>735151861R00</t>
  </si>
  <si>
    <t>735151869R00</t>
  </si>
  <si>
    <t>762</t>
  </si>
  <si>
    <t>762341220R00</t>
  </si>
  <si>
    <t>762342205RT3</t>
  </si>
  <si>
    <t>762321911RT2</t>
  </si>
  <si>
    <t>762322911RT2</t>
  </si>
  <si>
    <t>763</t>
  </si>
  <si>
    <t>763732112R00</t>
  </si>
  <si>
    <t>61230313AA</t>
  </si>
  <si>
    <t>764</t>
  </si>
  <si>
    <t>765799311RL2</t>
  </si>
  <si>
    <t>765901113R00</t>
  </si>
  <si>
    <t>764222420R00</t>
  </si>
  <si>
    <t>764252407R00</t>
  </si>
  <si>
    <t>764252492R00</t>
  </si>
  <si>
    <t>764510450RT2</t>
  </si>
  <si>
    <t>764292651RT3</t>
  </si>
  <si>
    <t>764551604RT2</t>
  </si>
  <si>
    <t>764554492R00</t>
  </si>
  <si>
    <t>764248493R00</t>
  </si>
  <si>
    <t>764249410R00</t>
  </si>
  <si>
    <t>764530450RT2</t>
  </si>
  <si>
    <t>764311241RT1</t>
  </si>
  <si>
    <t>766</t>
  </si>
  <si>
    <t>766661512R00</t>
  </si>
  <si>
    <t>766670021R00</t>
  </si>
  <si>
    <t>766694923R00</t>
  </si>
  <si>
    <t>766695213R00</t>
  </si>
  <si>
    <t>54915362</t>
  </si>
  <si>
    <t>54915372</t>
  </si>
  <si>
    <t>611617011RS</t>
  </si>
  <si>
    <t>611617013</t>
  </si>
  <si>
    <t>61160424RS</t>
  </si>
  <si>
    <t>766812840R00</t>
  </si>
  <si>
    <t>766812115R00B</t>
  </si>
  <si>
    <t>767</t>
  </si>
  <si>
    <t>767658914R00</t>
  </si>
  <si>
    <t>771</t>
  </si>
  <si>
    <t>771101142R00</t>
  </si>
  <si>
    <t>771101147R00</t>
  </si>
  <si>
    <t>771101210RT1</t>
  </si>
  <si>
    <t>771212113R00</t>
  </si>
  <si>
    <t>771549792R00</t>
  </si>
  <si>
    <t>771578011RT3</t>
  </si>
  <si>
    <t>771579793R00</t>
  </si>
  <si>
    <t>771471018R00</t>
  </si>
  <si>
    <t>59764210</t>
  </si>
  <si>
    <t>771101111R00</t>
  </si>
  <si>
    <t>771101101R00</t>
  </si>
  <si>
    <t>781</t>
  </si>
  <si>
    <t>781101111R00</t>
  </si>
  <si>
    <t>781101210R00</t>
  </si>
  <si>
    <t>781111115R00</t>
  </si>
  <si>
    <t>781419706R00</t>
  </si>
  <si>
    <t>781419711R00</t>
  </si>
  <si>
    <t>781497131RS1</t>
  </si>
  <si>
    <t>597813667</t>
  </si>
  <si>
    <t>781411015R00</t>
  </si>
  <si>
    <t>783</t>
  </si>
  <si>
    <t>783120010RAE</t>
  </si>
  <si>
    <t>784</t>
  </si>
  <si>
    <t>784011221RT2</t>
  </si>
  <si>
    <t>784011211RT2</t>
  </si>
  <si>
    <t>784111201R00</t>
  </si>
  <si>
    <t>784195322R00</t>
  </si>
  <si>
    <t>784402801R00</t>
  </si>
  <si>
    <t>795VD</t>
  </si>
  <si>
    <t>7951211VD</t>
  </si>
  <si>
    <t>7951212VD</t>
  </si>
  <si>
    <t>7951213VD</t>
  </si>
  <si>
    <t>7951214VD</t>
  </si>
  <si>
    <t>7951215VD</t>
  </si>
  <si>
    <t>7951216VD</t>
  </si>
  <si>
    <t>7951217VD</t>
  </si>
  <si>
    <t>7951218VD</t>
  </si>
  <si>
    <t>7951219VD</t>
  </si>
  <si>
    <t>79512110VD</t>
  </si>
  <si>
    <t>79512111VD</t>
  </si>
  <si>
    <t>79512112VD</t>
  </si>
  <si>
    <t>89441004RDD</t>
  </si>
  <si>
    <t>894431612RCB</t>
  </si>
  <si>
    <t>900100002RBAB</t>
  </si>
  <si>
    <t>900100002RAAZ</t>
  </si>
  <si>
    <t>941941041R00</t>
  </si>
  <si>
    <t>941941291R00</t>
  </si>
  <si>
    <t>941955002R00</t>
  </si>
  <si>
    <t>941941841R00</t>
  </si>
  <si>
    <t>941955004R00</t>
  </si>
  <si>
    <t>952901114R00</t>
  </si>
  <si>
    <t>965081713RT1</t>
  </si>
  <si>
    <t>968072245RZZ</t>
  </si>
  <si>
    <t>965042141RT1</t>
  </si>
  <si>
    <t>968061126R00</t>
  </si>
  <si>
    <t>978059531R00</t>
  </si>
  <si>
    <t>971038631R00</t>
  </si>
  <si>
    <t>974031155R00</t>
  </si>
  <si>
    <t>974082215R00</t>
  </si>
  <si>
    <t>973031616R00</t>
  </si>
  <si>
    <t>H01</t>
  </si>
  <si>
    <t>998011001R00</t>
  </si>
  <si>
    <t>M21</t>
  </si>
  <si>
    <t>21002RT1</t>
  </si>
  <si>
    <t>21004R00</t>
  </si>
  <si>
    <t>21003RT2</t>
  </si>
  <si>
    <t>2100331RT2</t>
  </si>
  <si>
    <t>2100312RT2</t>
  </si>
  <si>
    <t>2100332VD</t>
  </si>
  <si>
    <t>21000333VD</t>
  </si>
  <si>
    <t>2100334VD</t>
  </si>
  <si>
    <t>2103335VD</t>
  </si>
  <si>
    <t>21005RT1</t>
  </si>
  <si>
    <t>21006RT2</t>
  </si>
  <si>
    <t>21007R00</t>
  </si>
  <si>
    <t>21007R03</t>
  </si>
  <si>
    <t>21008RT1</t>
  </si>
  <si>
    <t>2103336VD</t>
  </si>
  <si>
    <t>210035R00</t>
  </si>
  <si>
    <t>2103337VD</t>
  </si>
  <si>
    <t>2103338VD</t>
  </si>
  <si>
    <t>210110082RT1</t>
  </si>
  <si>
    <t>2103340VD</t>
  </si>
  <si>
    <t>210010RT2</t>
  </si>
  <si>
    <t>210011R00</t>
  </si>
  <si>
    <t>210020307R00</t>
  </si>
  <si>
    <t>210012RTT</t>
  </si>
  <si>
    <t>210021VD</t>
  </si>
  <si>
    <t>210022VD</t>
  </si>
  <si>
    <t>210013R00</t>
  </si>
  <si>
    <t>210019RT1</t>
  </si>
  <si>
    <t>210014RT1</t>
  </si>
  <si>
    <t>210015R00</t>
  </si>
  <si>
    <t>210016RT1</t>
  </si>
  <si>
    <t>210017RRA</t>
  </si>
  <si>
    <t>210017RAAVD</t>
  </si>
  <si>
    <t>210018R00</t>
  </si>
  <si>
    <t>210220101RT2</t>
  </si>
  <si>
    <t>210220021RT1</t>
  </si>
  <si>
    <t>210220302RT3</t>
  </si>
  <si>
    <t>210220321R00</t>
  </si>
  <si>
    <t>210220302RT4</t>
  </si>
  <si>
    <t>210220372RT2</t>
  </si>
  <si>
    <t>210220211RT1</t>
  </si>
  <si>
    <t>210021RT1</t>
  </si>
  <si>
    <t>210022R00</t>
  </si>
  <si>
    <t>210029RTZ</t>
  </si>
  <si>
    <t>21000101VD</t>
  </si>
  <si>
    <t>21000102VD</t>
  </si>
  <si>
    <t>21000103VD</t>
  </si>
  <si>
    <t>21000104VD</t>
  </si>
  <si>
    <t>210023R021</t>
  </si>
  <si>
    <t>210024R00</t>
  </si>
  <si>
    <t>210025RT1</t>
  </si>
  <si>
    <t>M22</t>
  </si>
  <si>
    <t>222171R00</t>
  </si>
  <si>
    <t>S</t>
  </si>
  <si>
    <t>979081RT3</t>
  </si>
  <si>
    <t>979081111R00</t>
  </si>
  <si>
    <t>979081121RT2</t>
  </si>
  <si>
    <t>979082111R00</t>
  </si>
  <si>
    <t>979990107R00</t>
  </si>
  <si>
    <t>979082121R00</t>
  </si>
  <si>
    <t>Přístavba tech. zázemí pro JSDH města Litvínova</t>
  </si>
  <si>
    <t>dostavba</t>
  </si>
  <si>
    <t>objekt č.p.20, k.ú. Hamr u Litvínova</t>
  </si>
  <si>
    <t>Zkrácený popis</t>
  </si>
  <si>
    <t>Rozměry</t>
  </si>
  <si>
    <t>Odkopávky a prokopávky</t>
  </si>
  <si>
    <t>Sejmutí ornice, pl. do 400 m2, přemístění do 50 m</t>
  </si>
  <si>
    <t>Tavolník</t>
  </si>
  <si>
    <t>Hloubené vykopávky</t>
  </si>
  <si>
    <t>Vykopávka v uzavřených prostorách v hor.1-4</t>
  </si>
  <si>
    <t>Roubení</t>
  </si>
  <si>
    <t>Pažení a rozepření stěn rýh - zátažné - hl. do 4 m</t>
  </si>
  <si>
    <t>Odstranění pažení stěn rýh - zátažné - hl. do 4 m</t>
  </si>
  <si>
    <t>Přemístění výkopku</t>
  </si>
  <si>
    <t>Nakládání výkopku z hor.1-4 v množství do 100 m3</t>
  </si>
  <si>
    <t>Vodorovné přemístění výkopku z hor.1-4 do 10000 m</t>
  </si>
  <si>
    <t>Příplatek k vod. přemístění hor.1-4 za další 1 km do 30 Km</t>
  </si>
  <si>
    <t>Konstrukce ze zemin</t>
  </si>
  <si>
    <t>Obsyp objektu prohozenou zeminou</t>
  </si>
  <si>
    <t>Obsyp potrubí štěrkopískem</t>
  </si>
  <si>
    <t>Obsyp potrubí prohozenou zeminou</t>
  </si>
  <si>
    <t>Povrchové úpravy terénu</t>
  </si>
  <si>
    <t>Výsadba dřevin s balem D do 40 cm</t>
  </si>
  <si>
    <t>Základy</t>
  </si>
  <si>
    <t>Polštář základu z kameniva hr. drceného 16-32 mm</t>
  </si>
  <si>
    <t>Železobeton základ. desek C 25/30</t>
  </si>
  <si>
    <t>Výztuž základových desek ze svařovaných sítí</t>
  </si>
  <si>
    <t>Bednění otvorů desek do 0,02 m2, hl. 0,5 m</t>
  </si>
  <si>
    <t>Železobeton základ. pasů vodostavební C25/30</t>
  </si>
  <si>
    <t>Bednění stěn základových pasů - zřízení</t>
  </si>
  <si>
    <t>Bednění stěn základových pasů - odstranění</t>
  </si>
  <si>
    <t>Výztuž základových pasů do 12 mm z oceli 10505 (R)</t>
  </si>
  <si>
    <t>Zdi podpěrné a volné</t>
  </si>
  <si>
    <t>Zdivo keramických tvárnic tloušťky 400mm</t>
  </si>
  <si>
    <t>Zdivo keramických tvárnic tloušťky 300mm</t>
  </si>
  <si>
    <t>Osazení překladů keramických, otvor š. do 210 cm</t>
  </si>
  <si>
    <t>Zazdívka otvorů plochy do1 m2 cihlami na MC</t>
  </si>
  <si>
    <t>Sloupy a pilíře, stožáry a rámové stojky</t>
  </si>
  <si>
    <t>Beton sloupů a pilířů železový C 25/30</t>
  </si>
  <si>
    <t>Výztuž sloupů hranatých z betonář.oceli 10 216 (E)</t>
  </si>
  <si>
    <t>Svary sloupů, betonářské oceli, D tyče do 10 mm</t>
  </si>
  <si>
    <t>Bednění sloupů čtyřúhelníkového průřezu - zřízení</t>
  </si>
  <si>
    <t>Příplatek za vzepření bednění při výšce 4 - 6 m</t>
  </si>
  <si>
    <t>Zdivo pilířů cihelné z CP 25 cm P20 na MC 10</t>
  </si>
  <si>
    <t>Stěny a příčky</t>
  </si>
  <si>
    <t>Příčky z cihel broušených, lepidlo, tl.14 cm</t>
  </si>
  <si>
    <t>Příčky z cihel  P 10 na maltu MVC 5, tl. 11,5</t>
  </si>
  <si>
    <t>Stropy a stropní konstrukce (pro pozemní stavby)</t>
  </si>
  <si>
    <t>Stropy deskové ze železobetonu pohledového C 25/30</t>
  </si>
  <si>
    <t>Bednění stropů deskových, podepření,do 5,9m, 10kPa</t>
  </si>
  <si>
    <t>Odstranění bednění stropů deskových do 5,9m, 10kPa</t>
  </si>
  <si>
    <t>Bednění čel stropních desek, zřízení</t>
  </si>
  <si>
    <t>Bednění čel stropních desek, odstranění</t>
  </si>
  <si>
    <t>Podpěrná konstr. stropů do 30 kPa - zřízení</t>
  </si>
  <si>
    <t>Podpěrná konstr. stropů do 30 kPa - odstranění</t>
  </si>
  <si>
    <t>Výztuž stropů z betonářské oceli 10505(R)</t>
  </si>
  <si>
    <t>Ztužující pásy a věnce z betonu železového C 25/30</t>
  </si>
  <si>
    <t>Bednění ztužujících pásů a věnců - zřízení</t>
  </si>
  <si>
    <t>Bednění ztužujících pásů a věnců - odstranění</t>
  </si>
  <si>
    <t>Výztuž ztužujících pásů a věnců z oceli 10216(E)</t>
  </si>
  <si>
    <t>Podhledy SDK, kovová.kce CD. 1x deska RFI 15 mm</t>
  </si>
  <si>
    <t>Kryty pozemních komunikací, letišť a ploch z betonu a ostatních hmot</t>
  </si>
  <si>
    <t>Komunikace obslužná pro těžkou techniku včetně zemních prací</t>
  </si>
  <si>
    <t>Úprava povrchů vnitřní</t>
  </si>
  <si>
    <t>Montáž výztužné sítě (perlinky) do stěrky-stropy</t>
  </si>
  <si>
    <t>Štuk na stropech  ručně</t>
  </si>
  <si>
    <t>Omítka vnitř.zdiva ze such.směsi, štuková</t>
  </si>
  <si>
    <t>Postřik cementový, ručně</t>
  </si>
  <si>
    <t>Příplatek za zabudované rohovníky, stěny</t>
  </si>
  <si>
    <t>Oprava váp.omítek do 10% plochy - štukových</t>
  </si>
  <si>
    <t>Omítka rýh stěn vápenná o šířce do 30 cm, hladká</t>
  </si>
  <si>
    <t>Úprava povrchů vnější</t>
  </si>
  <si>
    <t>KZS s miner.vatou, plocha s otvory, budovy nad 6 m</t>
  </si>
  <si>
    <t>KZS s polystyrenem, plocha s otvory, budovy do 6 m</t>
  </si>
  <si>
    <t>Podlahy a podlahové konstrukce</t>
  </si>
  <si>
    <t>Mazanina betonová tl. 5 - 8 cm C 25/30</t>
  </si>
  <si>
    <t>Příplatek za přehlaz. mazanin pod povlaky tl. 8 cm</t>
  </si>
  <si>
    <t>Výztuž mazanin svařovanou sítí</t>
  </si>
  <si>
    <t>Broušený leštěný beton vyztužený vlákny</t>
  </si>
  <si>
    <t>Výplně otvorů</t>
  </si>
  <si>
    <t>Osazení   plastových oken včetně parotěs paroprop a komprimační pásky</t>
  </si>
  <si>
    <t>Osazení obložkových zárubní dveřních včetně dodávky zárubně</t>
  </si>
  <si>
    <t>D+M plastových dveří</t>
  </si>
  <si>
    <t>Příplatek za okenní lištu (APU) - montáž</t>
  </si>
  <si>
    <t>Okno plast. bílé U=1.0 W/m2K</t>
  </si>
  <si>
    <t>Osazení ocelových zárubní</t>
  </si>
  <si>
    <t>Výplň otvoru skleněnými tvárnicemi (Luxfery)</t>
  </si>
  <si>
    <t>Izolace proti vodě</t>
  </si>
  <si>
    <t>Opracování prostupů přírub termoplast.D do 200 mm</t>
  </si>
  <si>
    <t>Izolace proti vlhkosti vodorovná, fólií, volně</t>
  </si>
  <si>
    <t>Izolace střech (živičné krytiny)</t>
  </si>
  <si>
    <t>Povlaková krytina střech do 10°, fólií  včetně doplňků</t>
  </si>
  <si>
    <t>Zesílení spojů páskem fólie včetně zalití okrajů</t>
  </si>
  <si>
    <t>Izolace tepelné</t>
  </si>
  <si>
    <t>Položení separační fólie</t>
  </si>
  <si>
    <t>Izolace tepelná stěn lepením Styrodur</t>
  </si>
  <si>
    <t>Montáž dilatačního pásku podél stěn</t>
  </si>
  <si>
    <t>Montáž parozábrany krovů spodem s přelepením spojů</t>
  </si>
  <si>
    <t>Izolace tepelná střech do tl.200 mm,2vrstvy,kotvy</t>
  </si>
  <si>
    <t>izolace tl 180 minerální vlna</t>
  </si>
  <si>
    <t>Izolace tepelná podlah na sucho, jednovrstvá 100 mm</t>
  </si>
  <si>
    <t>Izolace tepelná podlah na sucho, jednovrstvá</t>
  </si>
  <si>
    <t>Vnitřní kanalizace</t>
  </si>
  <si>
    <t>Potrubí KG svodné (ležaté) v zemi D 110 x 3,2 mm</t>
  </si>
  <si>
    <t>Potrubí KG svodné (ležaté) v zemi D 125 x 3,2 mm</t>
  </si>
  <si>
    <t>Potrubí KG svodné (ležaté) v zemi D 160 x 4,0 mm</t>
  </si>
  <si>
    <t>Potrubí KG svodné (ležaté) v zemi D 200 x 4,9 mm</t>
  </si>
  <si>
    <t>Čisticí kus  DN 150</t>
  </si>
  <si>
    <t>Potrubí HT připojovací D 32 x 1,8 mm</t>
  </si>
  <si>
    <t>Potrubí HT připojovací D 40 x 1,8 mm</t>
  </si>
  <si>
    <t>Potrubí HT připojovací D 50 x 1,8 mm</t>
  </si>
  <si>
    <t>Potrubí HT připojovací D 75 x 1,9 mm</t>
  </si>
  <si>
    <t>Potrubí HT připojovací D 110 x 2,7 mm</t>
  </si>
  <si>
    <t>Čisticí kus pro  D 50</t>
  </si>
  <si>
    <t>Čisticí kus  D 75</t>
  </si>
  <si>
    <t>Čisticí kus  D 110</t>
  </si>
  <si>
    <t>Hlavice ventilační D 50/75/110 mm</t>
  </si>
  <si>
    <t>Ventil přivzdušňovací podomítkový</t>
  </si>
  <si>
    <t>Lapač střešních splavenin PP HL600, kloub</t>
  </si>
  <si>
    <t>Napojení přípojky na stávající veřejnou stoku</t>
  </si>
  <si>
    <t>Vsakovací objekt komplet</t>
  </si>
  <si>
    <t>Zkouška těsnosti kanalizace vodou DN 200</t>
  </si>
  <si>
    <t>Vnitřní vodovod</t>
  </si>
  <si>
    <t>Sestavení plastového rozvodu vody</t>
  </si>
  <si>
    <t>Potrubí z PPR, D 20 x 2,8 mm, PN 16, vč.zed.výpom.</t>
  </si>
  <si>
    <t>Potrubí z PPR, D 25 x 3,5 mm, PN 16, vč.zed.výpom.</t>
  </si>
  <si>
    <t>Potrubí z PPR, D 32 x 4,4 mm, PN 16, vč.zed.výpom.</t>
  </si>
  <si>
    <t>Izolace návleková tl. stěny 9 mm D20</t>
  </si>
  <si>
    <t>Izolace návleková  tl. stěny 9 mm D25</t>
  </si>
  <si>
    <t>Izolace návleková tl. stěny 9 mm D32</t>
  </si>
  <si>
    <t>Izolace návleková  tl. stěny 25 mm D20</t>
  </si>
  <si>
    <t>Izolace návleková  tl. stěny 25 mm D25</t>
  </si>
  <si>
    <t>Izolace návleková   tl. stěny 25 mm D32</t>
  </si>
  <si>
    <t>Demontáž potrubí</t>
  </si>
  <si>
    <t>Nástěnka</t>
  </si>
  <si>
    <t>D+M nezánrzný ventil</t>
  </si>
  <si>
    <t>Ventil rohový dn 15 (roháček) 1/2 / 3/8</t>
  </si>
  <si>
    <t>Kohout kulový  DN 15</t>
  </si>
  <si>
    <t>Kohout kulový  DN 25</t>
  </si>
  <si>
    <t>Kohout vod.kulový s vypouš. DN 15</t>
  </si>
  <si>
    <t>Kohout vod.kulový s vypouš DN 20</t>
  </si>
  <si>
    <t>Kohout kulový s hadičníkem chromovaná mosaz KK20</t>
  </si>
  <si>
    <t>Klapka vod.zpětná  DN 15</t>
  </si>
  <si>
    <t>Klapka vod.zpětná  DN 20</t>
  </si>
  <si>
    <t>Klapka vod.zpětná DN 25</t>
  </si>
  <si>
    <t>Směšovací ventil automatický například TA-MATIC 3400 DN20 - 55°C</t>
  </si>
  <si>
    <t>Teploměr 0-100 °C</t>
  </si>
  <si>
    <t>Manometr 0-1 MPa</t>
  </si>
  <si>
    <t>Cirkulační čerpadlo TUV, vel. 25-40(N), 230 V, nerez, 18 W, 0,18 A, 1 m3/h, 2,7 m</t>
  </si>
  <si>
    <t>Pojistný ventil  DN 3/4" 700 kPa</t>
  </si>
  <si>
    <t>Průraz  zdi tloušťky prostupu potrubí</t>
  </si>
  <si>
    <t>Identifikační štítky, šipky toku média apod.</t>
  </si>
  <si>
    <t>Proplach a dezinfekce vodovod.potrubí DN 80</t>
  </si>
  <si>
    <t>Tlaková zkouška vodovodního potrubí DN 32</t>
  </si>
  <si>
    <t>Zkoušky vč. komplexního vyzkoušení, seřízení, zaregulování, uvedení do provozu, seznámení obsluhy s provozem a údržbou zařízení, vyhotovení a předání</t>
  </si>
  <si>
    <t>Dokumentace skutečného provedení stavby v digitální a papírové podobě</t>
  </si>
  <si>
    <t>Propojení dosavadního potrubí</t>
  </si>
  <si>
    <t>Zařizovací předměty</t>
  </si>
  <si>
    <t>Sifon pračkový HL404.1, D 40/50 mm nerezový</t>
  </si>
  <si>
    <t>Dvířka bílá,200 x 200 mm</t>
  </si>
  <si>
    <t>Ventil rohový 1/2" x 3/4"</t>
  </si>
  <si>
    <t>Pisoár keramický bílý s elektronickým systémem splachování s napájením 20W/230V, včetně rohového ventilu se zpětnou klapkou, napojovací hadičky 3/8" a</t>
  </si>
  <si>
    <t>Umyvadlo na šrouby včetně sifonu a montážní sady</t>
  </si>
  <si>
    <t>Modul-WC Kombifix s WC mísou a sedátkem včetně příslušenství</t>
  </si>
  <si>
    <t>D+M  dřezů jednoduchých</t>
  </si>
  <si>
    <t>Sprchová vanička 900x900 s umělého mramoru vč. sifonu DN50 a nožiček</t>
  </si>
  <si>
    <t>Demontáž zař předmětů</t>
  </si>
  <si>
    <t>Baterie sprchová nástěnná ruční s hadicí hlavicí a úchytem</t>
  </si>
  <si>
    <t>Baterie páková umyvadlová stoján. ruční, bez otvír.odpadu</t>
  </si>
  <si>
    <t>Baterie dřezová stojánková ruční, bez otvír.odpadu se sprškou</t>
  </si>
  <si>
    <t>Vzduchotechnika</t>
  </si>
  <si>
    <t>Montáž potrubí spiro pr do 150</t>
  </si>
  <si>
    <t>Montáž potrubí spiro pr 200</t>
  </si>
  <si>
    <t>Montáž potrubí spiro pr 280</t>
  </si>
  <si>
    <t>Montáž potrubí spiro pr 355</t>
  </si>
  <si>
    <t>Hadice sonoflex 100</t>
  </si>
  <si>
    <t>Izolace protipožární min potrubí</t>
  </si>
  <si>
    <t>Ventilátor trubní tichý D315, 1500 m3/h, max. 300 W/230 V</t>
  </si>
  <si>
    <t>Ventilátor trubní tichý D315, 1900 m3/h, max. 300 W/230 V</t>
  </si>
  <si>
    <t>Výfukové koleno 90° 355 se sítem</t>
  </si>
  <si>
    <t>Výfukové koleno 90° 280 se sítem</t>
  </si>
  <si>
    <t>Výustka do kruhového potrubí  635 m3/h</t>
  </si>
  <si>
    <t>Izolac s Al fólií tl. 20 mm nebo Duct s Al tl. 13mm</t>
  </si>
  <si>
    <t>Digestoř 500x500 pro odsávání splodin od výfuku zaparkovaného vozidla vč. příslušenství</t>
  </si>
  <si>
    <t>D+M ventilátor tichý do podhledu/na zed  s doběhem a zpětnou klapkou 50-150 m3/hod</t>
  </si>
  <si>
    <t>Odvětrávací protidešťová hlavice včetně elementu k prostupu šikmou střechou  D100 až D150</t>
  </si>
  <si>
    <t>Hlukové zkoušky,Zkoušky vč. komplexního vyzkoušení, seřízení, zaregulování, uvedení do provozu</t>
  </si>
  <si>
    <t>dodávka montáž protidešť. žaluzie kruhové pr</t>
  </si>
  <si>
    <t>Kotelny</t>
  </si>
  <si>
    <t>D+M ekvitermní regulátor RC 310</t>
  </si>
  <si>
    <t>Plynový kondenzační kotel o výkonu 24 kW</t>
  </si>
  <si>
    <t>D+M nepřímotopný zásobníkTV objemu 160 litrů včetně propojovací sady</t>
  </si>
  <si>
    <t>Komín.vložka kondenzační 125/80</t>
  </si>
  <si>
    <t>Topná zkouška dle ČSN 06 0310</t>
  </si>
  <si>
    <t>Provozní řád kotelny</t>
  </si>
  <si>
    <t>Dokumentace skutečného provedení</t>
  </si>
  <si>
    <t>Rozvod potrubí</t>
  </si>
  <si>
    <t>D+M potrubí z měděných trubek vytápění D 15 mm včetně tvarovek a ůchytů</t>
  </si>
  <si>
    <t>D+M potrubí z měděných trubek vytápění D 18 mm včetně tvarovek a ůchytů</t>
  </si>
  <si>
    <t>D+M potrubí z měděných trubek vytápění D 22 mm včetně tvarovek a ůchytů</t>
  </si>
  <si>
    <t>D+M potrubí z měděných trubek vytápění D 28 mm včetně tvarovek a ůchytů</t>
  </si>
  <si>
    <t>Manžety prostupové pro trubky do DN 20</t>
  </si>
  <si>
    <t>Manžety prostupové pro trubky do DN 32</t>
  </si>
  <si>
    <t>Izolace návleková 15/9</t>
  </si>
  <si>
    <t>Izolace návleková  18/9</t>
  </si>
  <si>
    <t>Izolace návleková 22/13</t>
  </si>
  <si>
    <t>Izolace návleková 28/13</t>
  </si>
  <si>
    <t>Tlaková zkouška potrubí</t>
  </si>
  <si>
    <t>Otopná tělesa</t>
  </si>
  <si>
    <t>Deskové otopné těleso VK 11  600/ 500</t>
  </si>
  <si>
    <t>Deskové otopné těleso VK 11  600/ 600</t>
  </si>
  <si>
    <t>Deskové otopné těleso VK 11  600/1400</t>
  </si>
  <si>
    <t>Deskové otopné těleso VK 22  600/ 500</t>
  </si>
  <si>
    <t>Deskové otopné těleso VK 22  600/1400</t>
  </si>
  <si>
    <t>Konstrukce tesařské</t>
  </si>
  <si>
    <t>D+M. bedn.střech rovn. z aglomer.desek šroubováním</t>
  </si>
  <si>
    <t>Montáž kontralatí na vruty, s těsnicí pěnou</t>
  </si>
  <si>
    <t>Zavětrování s podepřením, prkny 32 mm</t>
  </si>
  <si>
    <t>D+M pozednice</t>
  </si>
  <si>
    <t>Dřevostavby</t>
  </si>
  <si>
    <t>Montáž střech z vazníků příhradových dl. do 18 m včetněmontážního materiálu</t>
  </si>
  <si>
    <t>Vazník příhtadový sbíjený L=13150 mm</t>
  </si>
  <si>
    <t>Konstrukce klempířské</t>
  </si>
  <si>
    <t>Montáž fólie  se slepením spojů</t>
  </si>
  <si>
    <t>Fólie paropropustná</t>
  </si>
  <si>
    <t>Oplechování okapů PZ  rš 330 mm</t>
  </si>
  <si>
    <t>Žlaby PZ plech, podokapní půlkruhové, rš 330 mm včetně čel</t>
  </si>
  <si>
    <t>D+M háků z PZ půlkruhových</t>
  </si>
  <si>
    <t>Oplechování parapetů včetně rohů Pz, rš 330 mm</t>
  </si>
  <si>
    <t>Lemování Pz napojení na stěnu</t>
  </si>
  <si>
    <t>Svod z PZ  kruhový, D 120 mm</t>
  </si>
  <si>
    <t>Montáž zděře (objímky) PZ kruhové</t>
  </si>
  <si>
    <t>D+M  zachytače sněhu z PZ podélného</t>
  </si>
  <si>
    <t>Oplechování z PZ držáků lana bleskosvodu</t>
  </si>
  <si>
    <t>Oplechování zdí z PZ plechu, rš 600 mm</t>
  </si>
  <si>
    <t>Krytina hladká z Pz , svitky š.670 mm do 30°</t>
  </si>
  <si>
    <t>Konstrukce truhlářské</t>
  </si>
  <si>
    <t>Montáž dveří s polodrážkou, MD,1kř. do 80 cm</t>
  </si>
  <si>
    <t>Montáž kliky a štítku</t>
  </si>
  <si>
    <t>D+M parap.desek š.do 30 cm, dl. do 2,6 m</t>
  </si>
  <si>
    <t>Montáž prahů dveří jednokřídlových š. nad 10 cm</t>
  </si>
  <si>
    <t>kování WC chrom matný</t>
  </si>
  <si>
    <t>kování chrom matný</t>
  </si>
  <si>
    <t>Dveře vnitřní  1kř. 70x197 cm</t>
  </si>
  <si>
    <t>Dveře vnitřní   1kř. 80x197 cm</t>
  </si>
  <si>
    <t>Dveře vnitřní  1kř. 90x197</t>
  </si>
  <si>
    <t>Dveře vnitřní 1250x1970</t>
  </si>
  <si>
    <t>Demontáž kuchyňských linek do 2,1 m</t>
  </si>
  <si>
    <t>D+M kuchyňských linek dřevěných linek š.do 2,4m</t>
  </si>
  <si>
    <t>Konstrukce doplňkové stavební (zámečnické)</t>
  </si>
  <si>
    <t>D+M Garážová lamelová vrata  4000*4000</t>
  </si>
  <si>
    <t>D+M Garážová lamelová vrata  4000*4000 průchozími dveřmi</t>
  </si>
  <si>
    <t>Podlahy z dlaždic</t>
  </si>
  <si>
    <t>Hydroizolační stěrka dvouvrstvá</t>
  </si>
  <si>
    <t>Bandáž koutů - provedení</t>
  </si>
  <si>
    <t>Penetrace podkladu pod dlažby</t>
  </si>
  <si>
    <t>Kladení dlažby keramické do TM, vel. do 300x300 mm</t>
  </si>
  <si>
    <t>Příplatek za podlahy v omezeném prostoru</t>
  </si>
  <si>
    <t>Spára podlaha - stěna, silikonem</t>
  </si>
  <si>
    <t>Příplatek za spárovací hmotu - plošně</t>
  </si>
  <si>
    <t>Obklad soklíků keram.rovných do tmelu</t>
  </si>
  <si>
    <t>Dlažba   300x300x9 mm slinutá protiskluzná</t>
  </si>
  <si>
    <t>Vyrovnání podkladů maltou ze SMS tl. do 10 mm</t>
  </si>
  <si>
    <t>Vysávání podlah prům.vysavačem pro pokládku dlažby</t>
  </si>
  <si>
    <t>Obklady (keramické)</t>
  </si>
  <si>
    <t>Vyrovnání podkladu maltou ze SMS tl. do 7 mm</t>
  </si>
  <si>
    <t>Penetrace podkladu pod obklady</t>
  </si>
  <si>
    <t>Otvor v obkladačce diamant.korunkou prům.do 30 mm</t>
  </si>
  <si>
    <t>Příplatek za spárovací vodotěsnou hmotu - plošně</t>
  </si>
  <si>
    <t>Příplatek k obkladu stěn za plochu do 10 m2 jedntl</t>
  </si>
  <si>
    <t>Lišta hlinik elox ukončovací k obkladům hranatá</t>
  </si>
  <si>
    <t>Obkládačka 200*250 standard</t>
  </si>
  <si>
    <t>Montáž obkladů stěn, porovin. do MC, 30x15 cm</t>
  </si>
  <si>
    <t>Nátěry</t>
  </si>
  <si>
    <t>Nátěr zárubní</t>
  </si>
  <si>
    <t>Malby</t>
  </si>
  <si>
    <t>Zakrytí předmětů</t>
  </si>
  <si>
    <t>Olepování vnitřních ploch</t>
  </si>
  <si>
    <t>Penetrace podkladu nátěrem   1 x</t>
  </si>
  <si>
    <t>Malba, barva, bez penetrace,2 x</t>
  </si>
  <si>
    <t>Odstranění malby oškrábáním v místnosti H do 3,8 m</t>
  </si>
  <si>
    <t>795 vybavení</t>
  </si>
  <si>
    <t>Dodávka a osazení   Skříň pro hasiče IPC</t>
  </si>
  <si>
    <t>D+M Šatní skříňka s lavičkou</t>
  </si>
  <si>
    <t>D+M Velký nerezový dřez</t>
  </si>
  <si>
    <t>D+M    Stůl dílenský</t>
  </si>
  <si>
    <t>D+M Dílenský ponk</t>
  </si>
  <si>
    <t>D+M Vysoušecí skříň</t>
  </si>
  <si>
    <t>D+M Vysoušeč bot a rukavic</t>
  </si>
  <si>
    <t>D+M Pračka +sušička</t>
  </si>
  <si>
    <t>Dílenský vozík</t>
  </si>
  <si>
    <t>Hadice box</t>
  </si>
  <si>
    <t>Fireportal ozvučení +software</t>
  </si>
  <si>
    <t>Rozhlasová ústředna včetně zapojení a 6 reproduktorů a kabeláže</t>
  </si>
  <si>
    <t>Ostatní konstrukce a práce na trubním vedení</t>
  </si>
  <si>
    <t>Revizní šachta DN 400</t>
  </si>
  <si>
    <t>Železobetonová šachta pro čistící kus, 800x1000 mm s pachotěsným poklopem 600x900mm, hloubka 1,2m, komplet pro zatížení D400</t>
  </si>
  <si>
    <t>Oplocení z poplastovaného pletiva, ocelové sloupky podhrab desky</t>
  </si>
  <si>
    <t>Oprava stávajícího oplocení</t>
  </si>
  <si>
    <t>Lešení a stavební výtahy</t>
  </si>
  <si>
    <t>Montáž lešení leh.řad.s podlahami,š.1,2 m, H 10 m</t>
  </si>
  <si>
    <t>Příplatek za každý měsíc použití lešení k pol.1041</t>
  </si>
  <si>
    <t>Lešení lehké pomocné, výška podlahy do 1,9 m</t>
  </si>
  <si>
    <t>Demontáž lešení leh.řad.s podlahami,š.1,2 m,H 10 m</t>
  </si>
  <si>
    <t>Lešení lehké pomocné, výška podlahy do 3,5 m</t>
  </si>
  <si>
    <t>Různé dokončovací konstrukce a práce na pozemních stavbách</t>
  </si>
  <si>
    <t>Vyčištění budov o výšce podlaží nad 4 m</t>
  </si>
  <si>
    <t>Bourání konstrukcí</t>
  </si>
  <si>
    <t>Bourání dlaždic keramických tl. 1 cm, nad 1 m2</t>
  </si>
  <si>
    <t>Vybourání kovových zárubní</t>
  </si>
  <si>
    <t>Bourání mazanin betonových tl. 10 cm, nad 4 m2</t>
  </si>
  <si>
    <t>Vyvěšení dřevěných dveřních křídel pl. nad 2 m2</t>
  </si>
  <si>
    <t>Prorážení otvorů a ostatní bourací práce</t>
  </si>
  <si>
    <t>Odsekání vnitřních obkladů stěn nad 2 m2</t>
  </si>
  <si>
    <t>Vybourání  cihly</t>
  </si>
  <si>
    <t>Vysekání rýh do 10 x 20 cm</t>
  </si>
  <si>
    <t>Vysekání rýh pro vodiče omítka stěn MC šířka 10 cm</t>
  </si>
  <si>
    <t>Vysekání kapes zeď cih. špalíky, krabice 10x10x5cm</t>
  </si>
  <si>
    <t>Budovy občanské výstavby</t>
  </si>
  <si>
    <t>Přesun hmot pro budovy zděné výšky do 6 m</t>
  </si>
  <si>
    <t>Elektromontáže</t>
  </si>
  <si>
    <t>D+M Svítidlo LED nástěnné 21W A</t>
  </si>
  <si>
    <t>D+M Svítidlo LED přisazené 21W, IP54 ozn. B s čidlem</t>
  </si>
  <si>
    <t>D+M Svítidlo závěsné panelové LED, 35W, IP54, ozn. D</t>
  </si>
  <si>
    <t>D+M Dtto, vč. nouz.modulu a akubaterie, ozn. DN</t>
  </si>
  <si>
    <t>D+M Svítidlo stropní panelové LED 21W, IP54, ozn. E</t>
  </si>
  <si>
    <t>D+M Dtto, vč. nouz.modulu a akubaterie, ozn. EN</t>
  </si>
  <si>
    <t>Světelná reklama "Hasiči"</t>
  </si>
  <si>
    <t>Nouzové svítidlo s piktogramem 4W, IP54,s akubaterií, ozn. N</t>
  </si>
  <si>
    <t>D+M Vypínač jednopólový, 230V, 10A</t>
  </si>
  <si>
    <t>D+M Přepínač střídavý, 230V, 10A</t>
  </si>
  <si>
    <t>D+M Přepínač seriový, 230V, 10A</t>
  </si>
  <si>
    <t>D+M Přepínač křížový, 230V, 10A</t>
  </si>
  <si>
    <t>D+M Zásuvka domovní  230V, 16A</t>
  </si>
  <si>
    <t>Tlačítkový ovladač, 230V, 10A</t>
  </si>
  <si>
    <t>servisní vypínač25A 400V</t>
  </si>
  <si>
    <t>Zásuvka třífázová nástěnná, 400V,16A</t>
  </si>
  <si>
    <t>Zásuvka třífázová nástěnná, 400V,32A</t>
  </si>
  <si>
    <t>Ventilátorové časové relé do krabice, 230V,10A</t>
  </si>
  <si>
    <t>Přepěťová ochrana 3.st.</t>
  </si>
  <si>
    <t>D+M Krabice přístrojová</t>
  </si>
  <si>
    <t>D+M Krabicová rozvodka</t>
  </si>
  <si>
    <t>Skříň hlavního pospojování HOP</t>
  </si>
  <si>
    <t>D+M Kabel CYKY 4B x 16</t>
  </si>
  <si>
    <t>D+M Kabel CYKY 4B x 10</t>
  </si>
  <si>
    <t>D+M Kabel CYKY 5C x 6</t>
  </si>
  <si>
    <t>D+M Kabel  CYKY 5Cx2,5</t>
  </si>
  <si>
    <t>D+M kabel CYKY 5C x1,5</t>
  </si>
  <si>
    <t>D+M Kabel CYKY 3 x 2,5</t>
  </si>
  <si>
    <t>D+M Kabel CYKY 3 x 1,5</t>
  </si>
  <si>
    <t>D+M Kabel CYKY 2A x 1,5</t>
  </si>
  <si>
    <t>D+M Pospojovací vodič CY16</t>
  </si>
  <si>
    <t>Pospojovací vodič CY6</t>
  </si>
  <si>
    <t>D+M Ukončení vodičů do  10 mm2</t>
  </si>
  <si>
    <t>D+M Ukončení vodičů do  2,5 mm2</t>
  </si>
  <si>
    <t>D+M Ukončení vodičů do  16 mm2</t>
  </si>
  <si>
    <t>Vodiče svodové FeZn 8 +podpěry</t>
  </si>
  <si>
    <t>Vedení uzemňovací v zemi FeZn do 120 mm2 vč.svorek</t>
  </si>
  <si>
    <t>Svorka zkušební</t>
  </si>
  <si>
    <t>ochrana krabice k měřící svorce</t>
  </si>
  <si>
    <t>Svorka  /ST, SJ, SR, atd/</t>
  </si>
  <si>
    <t>Ochrann Trubka ve zdivu</t>
  </si>
  <si>
    <t>Tyč jímací s upev. na stř.hřeben do 2 m, do dřeva</t>
  </si>
  <si>
    <t>Pomocný, montážní a označovací materiál (15%), bez svítidel</t>
  </si>
  <si>
    <t>Demontáže stávajících elektroinstalací  - odhad</t>
  </si>
  <si>
    <t>D+M Zdroj UPS 400/400V, 25kVA, 24 hod, offline  odhad</t>
  </si>
  <si>
    <t>Elektroměrový rozvaděč</t>
  </si>
  <si>
    <t>Rozvaděč hasičské zbrojnice včetně výzproje</t>
  </si>
  <si>
    <t>Rekonstrukce stávajícího rozvaděče zbrojnice</t>
  </si>
  <si>
    <t>Stavební přípomoci</t>
  </si>
  <si>
    <t>Revize a revizní zpráva</t>
  </si>
  <si>
    <t>Montáže měření a regulace</t>
  </si>
  <si>
    <t xml:space="preserve"> Měření a regulace  včetně všech komponentů pro dodavaný typ zařízení</t>
  </si>
  <si>
    <t>Přesuny sutí</t>
  </si>
  <si>
    <t>Ekologická likvidace odpadu včetně přesunu Kontejner 7t potrubí</t>
  </si>
  <si>
    <t>Odvoz suti a vybour. hmot na skládku do 1 km</t>
  </si>
  <si>
    <t>Příplatek k odvozu za každý další 1 km</t>
  </si>
  <si>
    <t>Vnitrostaveništní doprava suti do 10 m</t>
  </si>
  <si>
    <t>Poplatek za skládku suti - směs betonu,cihel,dřeva</t>
  </si>
  <si>
    <t>Příplatek k vnitrost. dopravě suti za dalších 5 m</t>
  </si>
  <si>
    <t>Doba výstavby:</t>
  </si>
  <si>
    <t>Začátek výstavby:</t>
  </si>
  <si>
    <t>Konec výstavby:</t>
  </si>
  <si>
    <t>Zpracováno dne:</t>
  </si>
  <si>
    <t>MJ</t>
  </si>
  <si>
    <t>m3</t>
  </si>
  <si>
    <t>kus</t>
  </si>
  <si>
    <t>m2</t>
  </si>
  <si>
    <t>t</t>
  </si>
  <si>
    <t>m</t>
  </si>
  <si>
    <t>soubor</t>
  </si>
  <si>
    <t>kpl</t>
  </si>
  <si>
    <t>ks</t>
  </si>
  <si>
    <t>Ks</t>
  </si>
  <si>
    <t>kont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</si>
  <si>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</si>
  <si>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</si>
  <si>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</si>
  <si>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</si>
  <si>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</si>
  <si>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</si>
  <si>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</si>
  <si>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</si>
  <si>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</si>
  <si>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</si>
  <si>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Litvínov, Městský úřad Litvínov</t>
  </si>
  <si>
    <t>MIKRO PRAHA spol s r.o.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</si>
  <si>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</si>
  <si>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</si>
  <si>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</si>
  <si>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</si>
  <si>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</si>
  <si>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</si>
  <si>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</si>
  <si>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</si>
  <si>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</si>
  <si>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</si>
  <si>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</si>
  <si>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</si>
  <si>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</si>
  <si>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</si>
  <si>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</si>
  <si>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15_</t>
  </si>
  <si>
    <t>16_</t>
  </si>
  <si>
    <t>17_</t>
  </si>
  <si>
    <t>18_</t>
  </si>
  <si>
    <t>27_</t>
  </si>
  <si>
    <t>31_</t>
  </si>
  <si>
    <t>33_</t>
  </si>
  <si>
    <t>34_</t>
  </si>
  <si>
    <t>41_</t>
  </si>
  <si>
    <t>58_</t>
  </si>
  <si>
    <t>61_</t>
  </si>
  <si>
    <t>62_</t>
  </si>
  <si>
    <t>63_</t>
  </si>
  <si>
    <t>64_</t>
  </si>
  <si>
    <t>711_</t>
  </si>
  <si>
    <t>712_</t>
  </si>
  <si>
    <t>713_</t>
  </si>
  <si>
    <t>721_</t>
  </si>
  <si>
    <t>722_</t>
  </si>
  <si>
    <t>725_</t>
  </si>
  <si>
    <t>728_</t>
  </si>
  <si>
    <t>731_</t>
  </si>
  <si>
    <t>733_</t>
  </si>
  <si>
    <t>735_</t>
  </si>
  <si>
    <t>762_</t>
  </si>
  <si>
    <t>763_</t>
  </si>
  <si>
    <t>764_</t>
  </si>
  <si>
    <t>766_</t>
  </si>
  <si>
    <t>767_</t>
  </si>
  <si>
    <t>771_</t>
  </si>
  <si>
    <t>781_</t>
  </si>
  <si>
    <t>783_</t>
  </si>
  <si>
    <t>784_</t>
  </si>
  <si>
    <t>795VD_</t>
  </si>
  <si>
    <t>89_</t>
  </si>
  <si>
    <t>90_</t>
  </si>
  <si>
    <t>94_</t>
  </si>
  <si>
    <t>95_</t>
  </si>
  <si>
    <t>96_</t>
  </si>
  <si>
    <t>97_</t>
  </si>
  <si>
    <t>H01_</t>
  </si>
  <si>
    <t>M21_</t>
  </si>
  <si>
    <t>M22_</t>
  </si>
  <si>
    <t>S_</t>
  </si>
  <si>
    <t>1_</t>
  </si>
  <si>
    <t>2_</t>
  </si>
  <si>
    <t>3_</t>
  </si>
  <si>
    <t>4_</t>
  </si>
  <si>
    <t>5_</t>
  </si>
  <si>
    <t>6_</t>
  </si>
  <si>
    <t>71_</t>
  </si>
  <si>
    <t>72_</t>
  </si>
  <si>
    <t>73_</t>
  </si>
  <si>
    <t>76_</t>
  </si>
  <si>
    <t>77_</t>
  </si>
  <si>
    <t>78_</t>
  </si>
  <si>
    <t>79_</t>
  </si>
  <si>
    <t>8_</t>
  </si>
  <si>
    <t>9_</t>
  </si>
  <si>
    <t>_</t>
  </si>
  <si>
    <t>B_</t>
  </si>
  <si>
    <t>A1_</t>
  </si>
  <si>
    <t>100001</t>
  </si>
  <si>
    <t>100002</t>
  </si>
  <si>
    <t>100050</t>
  </si>
  <si>
    <t>MAT</t>
  </si>
  <si>
    <t>WORK</t>
  </si>
  <si>
    <t>CELK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</si>
  <si>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</si>
  <si>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</si>
  <si>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</si>
  <si>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</si>
  <si>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</si>
  <si>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</si>
  <si>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</si>
  <si>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</si>
  <si>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</si>
  <si>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</si>
  <si>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</si>
  <si>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</si>
  <si>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</si>
  <si>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</si>
  <si>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</si>
  <si>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</si>
  <si>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</si>
  <si>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</si>
  <si>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</si>
  <si>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Zhotovitel je povinen si překontrolovat výměry jednotlivých
položek a v případě potřeby chybějící položky doplnit. V
případě neshody mezi výkazem výměr a projektovou 
 dokumentací (textová a výkresová část) je rozhodující pro
dodávku zhotovitele projektová dokumentace.
</t>
  </si>
  <si>
    <t>Základní rozpočtové náklady</t>
  </si>
  <si>
    <t>Dodávky</t>
  </si>
  <si>
    <t>Krycí list rozpočtu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</si>
  <si>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</si>
  <si>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</si>
  <si>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</si>
  <si>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</si>
  <si>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</si>
  <si>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</si>
  <si>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</si>
  <si>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</si>
  <si>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</si>
  <si>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</si>
  <si>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</si>
  <si>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</si>
  <si>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</si>
  <si>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</si>
  <si>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</si>
  <si>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</si>
  <si>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</si>
  <si>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</si>
  <si>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</si>
  <si>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</si>
  <si>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</si>
  <si>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</si>
  <si>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</si>
  <si>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</si>
  <si>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</si>
  <si>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</si>
  <si>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</si>
  <si>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00266027/CZ00266027</t>
  </si>
  <si>
    <t>27145611/CZ27145611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</si>
  <si>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</si>
  <si>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</si>
  <si>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</si>
  <si>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</si>
  <si>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</si>
  <si>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</si>
  <si>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</si>
  <si>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</si>
  <si>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</si>
  <si>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</si>
  <si>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</si>
  <si>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</si>
  <si>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Svítidlo stropní panelové LED 42W, IP54, ozn. F</t>
  </si>
  <si>
    <t>D+M Svítidlo LED halogenové 45W, IP54, ozn. G</t>
  </si>
  <si>
    <t>Svítidlo nad umyvadlo LED 15W, II.tř. izolace, ozn. C</t>
  </si>
  <si>
    <t>313A</t>
  </si>
  <si>
    <t>2100332VDN</t>
  </si>
  <si>
    <t>D+M Dtto, vč. nouz.modulu a akubaterie, ozn. FN</t>
  </si>
  <si>
    <t>Rozvaděč klubu seniorů včetně výzbroje</t>
  </si>
  <si>
    <t>288A</t>
  </si>
  <si>
    <t>288B</t>
  </si>
  <si>
    <t>Dodávka a osazení Has přístroj práškový 6 kg</t>
  </si>
  <si>
    <t>Dodávka a osazení dopravního značení</t>
  </si>
  <si>
    <t>9002002</t>
  </si>
  <si>
    <t>9002003</t>
  </si>
  <si>
    <t>61160424RP</t>
  </si>
  <si>
    <t>Dveře vnitřní protipožární</t>
  </si>
  <si>
    <t>Obezdění věnce brouš. věncovkou 8/29, izol.</t>
  </si>
  <si>
    <t>0</t>
  </si>
  <si>
    <t>Hodinové zúčtovací sazby (HZS) a podobné práce</t>
  </si>
  <si>
    <t>jav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</si>
</sst>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2" fillId="0" borderId="27" xfId="0" applyNumberFormat="1" applyFont="1" applyFill="1" applyBorder="1" applyAlignment="1" applyProtection="1">
      <alignment horizontal="right" vertical="center"/>
      <protection/>
    </xf>
    <xf numFmtId="49" fontId="12" fillId="0" borderId="27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3" fillId="0" borderId="38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right" vertical="center"/>
      <protection/>
    </xf>
    <xf numFmtId="4" fontId="3" fillId="0" borderId="3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48" xfId="0" applyNumberFormat="1" applyFont="1" applyFill="1" applyBorder="1" applyAlignment="1" applyProtection="1">
      <alignment horizontal="left" vertical="center"/>
      <protection/>
    </xf>
    <xf numFmtId="0" fontId="11" fillId="34" borderId="47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52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11" fillId="0" borderId="56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57" xfId="0" applyNumberFormat="1" applyFont="1" applyFill="1" applyBorder="1" applyAlignment="1" applyProtection="1">
      <alignment horizontal="left" vertical="center"/>
      <protection/>
    </xf>
    <xf numFmtId="4" fontId="11" fillId="0" borderId="56" xfId="0" applyNumberFormat="1" applyFont="1" applyFill="1" applyBorder="1" applyAlignment="1" applyProtection="1">
      <alignment horizontal="right" vertical="center"/>
      <protection/>
    </xf>
    <xf numFmtId="0" fontId="11" fillId="0" borderId="36" xfId="0" applyNumberFormat="1" applyFont="1" applyFill="1" applyBorder="1" applyAlignment="1" applyProtection="1">
      <alignment horizontal="right" vertical="center"/>
      <protection/>
    </xf>
    <xf numFmtId="0" fontId="11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35" borderId="0" xfId="0" applyNumberFormat="1" applyFont="1" applyFill="1" applyBorder="1" applyAlignment="1" applyProtection="1">
      <alignment horizontal="right" vertical="center"/>
      <protection locked="0"/>
    </xf>
    <xf numFmtId="4" fontId="6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" fontId="5" fillId="35" borderId="13" xfId="0" applyNumberFormat="1" applyFont="1" applyFill="1" applyBorder="1" applyAlignment="1" applyProtection="1">
      <alignment horizontal="right" vertical="center"/>
      <protection locked="0"/>
    </xf>
    <xf numFmtId="4" fontId="1" fillId="35" borderId="27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9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/>
      <protection locked="0"/>
    </xf>
    <xf numFmtId="0" fontId="1" fillId="35" borderId="3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31"/>
  <sheetViews>
    <sheetView tabSelected="1" zoomScalePageLayoutView="0" workbookViewId="0" topLeftCell="A1">
      <pane ySplit="11" topLeftCell="A342" activePane="bottomLeft" state="frozen"/>
      <selection pane="topLeft" activeCell="A1" sqref="A1"/>
      <selection pane="bottomLeft" activeCell="G350" sqref="G350"/>
    </sheetView>
  </sheetViews>
  <sheetFormatPr defaultColWidth="11.57421875" defaultRowHeight="12.75"/>
  <cols>
    <col min="1" max="1" width="3.7109375" style="0" customWidth="1"/>
    <col min="2" max="2" width="3.00390625" style="0" customWidth="1"/>
    <col min="3" max="3" width="14.28125" style="0" customWidth="1"/>
    <col min="4" max="4" width="48.140625" style="0" customWidth="1"/>
    <col min="5" max="5" width="5.57421875" style="0" customWidth="1"/>
    <col min="6" max="6" width="8.8515625" style="0" customWidth="1"/>
    <col min="7" max="7" width="12.00390625" style="0" customWidth="1"/>
    <col min="8" max="8" width="12.140625" style="0" customWidth="1"/>
    <col min="9" max="9" width="12.28125" style="0" customWidth="1"/>
    <col min="10" max="10" width="15.7109375" style="0" customWidth="1"/>
    <col min="11" max="12" width="11.7109375" style="0" customWidth="1"/>
    <col min="13" max="15" width="11.57421875" style="0" customWidth="1"/>
    <col min="16" max="23" width="11.57421875" style="0" hidden="1" customWidth="1"/>
    <col min="24" max="61" width="12.140625" style="0" hidden="1" customWidth="1"/>
    <col min="62" max="63" width="11.57421875" style="0" hidden="1" customWidth="1"/>
    <col min="64" max="79" width="0" style="0" hidden="1" customWidth="1"/>
  </cols>
  <sheetData>
    <row r="1" spans="1:12" ht="72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2.75">
      <c r="A2" s="78" t="s">
        <v>1</v>
      </c>
      <c r="B2" s="79"/>
      <c r="C2" s="79"/>
      <c r="D2" s="82" t="s">
        <v>734</v>
      </c>
      <c r="E2" s="84" t="s">
        <v>1114</v>
      </c>
      <c r="F2" s="79"/>
      <c r="G2" s="84" t="s">
        <v>6</v>
      </c>
      <c r="H2" s="85" t="s">
        <v>1132</v>
      </c>
      <c r="I2" s="85" t="s">
        <v>1139</v>
      </c>
      <c r="J2" s="79"/>
      <c r="K2" s="79"/>
      <c r="L2" s="79"/>
      <c r="M2" s="29"/>
    </row>
    <row r="3" spans="1:13" ht="12.75">
      <c r="A3" s="80"/>
      <c r="B3" s="81"/>
      <c r="C3" s="81"/>
      <c r="D3" s="83"/>
      <c r="E3" s="81"/>
      <c r="F3" s="81"/>
      <c r="G3" s="81"/>
      <c r="H3" s="81"/>
      <c r="I3" s="81"/>
      <c r="J3" s="81"/>
      <c r="K3" s="81"/>
      <c r="L3" s="81"/>
      <c r="M3" s="29"/>
    </row>
    <row r="4" spans="1:13" ht="12.75">
      <c r="A4" s="86" t="s">
        <v>2</v>
      </c>
      <c r="B4" s="81"/>
      <c r="C4" s="81"/>
      <c r="D4" s="87" t="s">
        <v>735</v>
      </c>
      <c r="E4" s="88" t="s">
        <v>1115</v>
      </c>
      <c r="F4" s="81"/>
      <c r="G4" s="88"/>
      <c r="H4" s="87" t="s">
        <v>1133</v>
      </c>
      <c r="I4" s="87" t="s">
        <v>1140</v>
      </c>
      <c r="J4" s="81"/>
      <c r="K4" s="81"/>
      <c r="L4" s="81"/>
      <c r="M4" s="29"/>
    </row>
    <row r="5" spans="1:13" ht="12.7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29"/>
    </row>
    <row r="6" spans="1:13" ht="12.75">
      <c r="A6" s="86" t="s">
        <v>3</v>
      </c>
      <c r="B6" s="81"/>
      <c r="C6" s="81"/>
      <c r="D6" s="87" t="s">
        <v>736</v>
      </c>
      <c r="E6" s="88" t="s">
        <v>1116</v>
      </c>
      <c r="F6" s="81"/>
      <c r="G6" s="88" t="s">
        <v>6</v>
      </c>
      <c r="H6" s="87" t="s">
        <v>1134</v>
      </c>
      <c r="I6" s="155" t="s">
        <v>1304</v>
      </c>
      <c r="J6" s="156"/>
      <c r="K6" s="156"/>
      <c r="L6" s="156"/>
      <c r="M6" s="29"/>
    </row>
    <row r="7" spans="1:13" ht="12.75">
      <c r="A7" s="80"/>
      <c r="B7" s="81"/>
      <c r="C7" s="81"/>
      <c r="D7" s="81"/>
      <c r="E7" s="81"/>
      <c r="F7" s="81"/>
      <c r="G7" s="81"/>
      <c r="H7" s="81"/>
      <c r="I7" s="156"/>
      <c r="J7" s="156"/>
      <c r="K7" s="156"/>
      <c r="L7" s="156"/>
      <c r="M7" s="29"/>
    </row>
    <row r="8" spans="1:13" ht="12.75">
      <c r="A8" s="86" t="s">
        <v>4</v>
      </c>
      <c r="B8" s="81"/>
      <c r="C8" s="81"/>
      <c r="D8" s="87" t="s">
        <v>6</v>
      </c>
      <c r="E8" s="88" t="s">
        <v>1117</v>
      </c>
      <c r="F8" s="81"/>
      <c r="G8" s="155" t="s">
        <v>1304</v>
      </c>
      <c r="H8" s="87" t="s">
        <v>1135</v>
      </c>
      <c r="I8" s="155" t="s">
        <v>1306</v>
      </c>
      <c r="J8" s="156"/>
      <c r="K8" s="156"/>
      <c r="L8" s="156"/>
      <c r="M8" s="29"/>
    </row>
    <row r="9" spans="1:13" ht="12.75">
      <c r="A9" s="94"/>
      <c r="B9" s="95"/>
      <c r="C9" s="95"/>
      <c r="D9" s="95"/>
      <c r="E9" s="95"/>
      <c r="F9" s="95"/>
      <c r="G9" s="157"/>
      <c r="H9" s="95"/>
      <c r="I9" s="157"/>
      <c r="J9" s="157"/>
      <c r="K9" s="157"/>
      <c r="L9" s="157"/>
      <c r="M9" s="29"/>
    </row>
    <row r="10" spans="1:13" ht="12.75">
      <c r="A10" s="1" t="s">
        <v>5</v>
      </c>
      <c r="B10" s="10" t="s">
        <v>376</v>
      </c>
      <c r="C10" s="10" t="s">
        <v>379</v>
      </c>
      <c r="D10" s="10" t="s">
        <v>737</v>
      </c>
      <c r="E10" s="10" t="s">
        <v>1118</v>
      </c>
      <c r="F10" s="16" t="s">
        <v>1129</v>
      </c>
      <c r="G10" s="20" t="s">
        <v>1130</v>
      </c>
      <c r="H10" s="89" t="s">
        <v>1136</v>
      </c>
      <c r="I10" s="90"/>
      <c r="J10" s="91"/>
      <c r="K10" s="89" t="s">
        <v>1143</v>
      </c>
      <c r="L10" s="91"/>
      <c r="M10" s="30"/>
    </row>
    <row r="11" spans="1:61" ht="12.75">
      <c r="A11" s="2" t="s">
        <v>6</v>
      </c>
      <c r="B11" s="11" t="s">
        <v>6</v>
      </c>
      <c r="C11" s="11" t="s">
        <v>6</v>
      </c>
      <c r="D11" s="14" t="s">
        <v>738</v>
      </c>
      <c r="E11" s="11" t="s">
        <v>6</v>
      </c>
      <c r="F11" s="11" t="s">
        <v>6</v>
      </c>
      <c r="G11" s="21" t="s">
        <v>1131</v>
      </c>
      <c r="H11" s="22" t="s">
        <v>1137</v>
      </c>
      <c r="I11" s="23" t="s">
        <v>1141</v>
      </c>
      <c r="J11" s="24" t="s">
        <v>1142</v>
      </c>
      <c r="K11" s="22" t="s">
        <v>1144</v>
      </c>
      <c r="L11" s="24" t="s">
        <v>1142</v>
      </c>
      <c r="M11" s="30"/>
      <c r="Y11" s="26" t="s">
        <v>1145</v>
      </c>
      <c r="Z11" s="26" t="s">
        <v>1146</v>
      </c>
      <c r="AA11" s="26" t="s">
        <v>1147</v>
      </c>
      <c r="AB11" s="26" t="s">
        <v>1148</v>
      </c>
      <c r="AC11" s="26" t="s">
        <v>1149</v>
      </c>
      <c r="AD11" s="26" t="s">
        <v>1150</v>
      </c>
      <c r="AE11" s="26" t="s">
        <v>1151</v>
      </c>
      <c r="AF11" s="26" t="s">
        <v>1152</v>
      </c>
      <c r="AG11" s="26" t="s">
        <v>1153</v>
      </c>
      <c r="BG11" s="26" t="s">
        <v>1221</v>
      </c>
      <c r="BH11" s="26" t="s">
        <v>1222</v>
      </c>
      <c r="BI11" s="26" t="s">
        <v>1223</v>
      </c>
    </row>
    <row r="12" spans="1:46" ht="12.75">
      <c r="A12" s="3"/>
      <c r="B12" s="12"/>
      <c r="C12" s="12" t="s">
        <v>18</v>
      </c>
      <c r="D12" s="12" t="s">
        <v>739</v>
      </c>
      <c r="E12" s="3" t="s">
        <v>6</v>
      </c>
      <c r="F12" s="3" t="s">
        <v>6</v>
      </c>
      <c r="G12" s="3" t="s">
        <v>6</v>
      </c>
      <c r="H12" s="33">
        <f>SUM(H13:H14)</f>
        <v>0</v>
      </c>
      <c r="I12" s="33">
        <f>SUM(I13:I14)</f>
        <v>0</v>
      </c>
      <c r="J12" s="33">
        <f>SUM(J13:J14)</f>
        <v>0</v>
      </c>
      <c r="K12" s="25"/>
      <c r="L12" s="33">
        <f>SUM(L13:L14)</f>
        <v>0.24</v>
      </c>
      <c r="AH12" s="26"/>
      <c r="AR12" s="34">
        <f>SUM(AI13:AI14)</f>
        <v>0</v>
      </c>
      <c r="AS12" s="34">
        <f>SUM(AJ13:AJ14)</f>
        <v>0</v>
      </c>
      <c r="AT12" s="34">
        <f>SUM(AK13:AK14)</f>
        <v>0</v>
      </c>
    </row>
    <row r="13" spans="1:61" ht="12.75">
      <c r="A13" s="4" t="s">
        <v>7</v>
      </c>
      <c r="B13" s="4"/>
      <c r="C13" s="4" t="s">
        <v>380</v>
      </c>
      <c r="D13" s="71" t="s">
        <v>740</v>
      </c>
      <c r="E13" s="4" t="s">
        <v>1119</v>
      </c>
      <c r="F13" s="17">
        <v>59.8</v>
      </c>
      <c r="G13" s="148">
        <v>0</v>
      </c>
      <c r="H13" s="17">
        <f>F13*AN13</f>
        <v>0</v>
      </c>
      <c r="I13" s="17">
        <f>F13*AO13</f>
        <v>0</v>
      </c>
      <c r="J13" s="17">
        <f>F13*G13</f>
        <v>0</v>
      </c>
      <c r="K13" s="17">
        <v>0</v>
      </c>
      <c r="L13" s="17">
        <f>F13*K13</f>
        <v>0</v>
      </c>
      <c r="Y13" s="31">
        <f>IF(AP13="5",BI13,0)</f>
        <v>0</v>
      </c>
      <c r="AA13" s="31">
        <f>IF(AP13="1",BG13,0)</f>
        <v>0</v>
      </c>
      <c r="AB13" s="31">
        <f>IF(AP13="1",BH13,0)</f>
        <v>0</v>
      </c>
      <c r="AC13" s="31">
        <f>IF(AP13="7",BG13,0)</f>
        <v>0</v>
      </c>
      <c r="AD13" s="31">
        <f>IF(AP13="7",BH13,0)</f>
        <v>0</v>
      </c>
      <c r="AE13" s="31">
        <f>IF(AP13="2",BG13,0)</f>
        <v>0</v>
      </c>
      <c r="AF13" s="31">
        <f>IF(AP13="2",BH13,0)</f>
        <v>0</v>
      </c>
      <c r="AG13" s="31">
        <f>IF(AP13="0",BI13,0)</f>
        <v>0</v>
      </c>
      <c r="AH13" s="26"/>
      <c r="AI13" s="17">
        <f>IF(AM13=0,J13,0)</f>
        <v>0</v>
      </c>
      <c r="AJ13" s="17">
        <f>IF(AM13=15,J13,0)</f>
        <v>0</v>
      </c>
      <c r="AK13" s="17">
        <f>IF(AM13=21,J13,0)</f>
        <v>0</v>
      </c>
      <c r="AM13" s="31">
        <v>21</v>
      </c>
      <c r="AN13" s="31">
        <f>G13*0</f>
        <v>0</v>
      </c>
      <c r="AO13" s="31">
        <f>G13*(1-0)</f>
        <v>0</v>
      </c>
      <c r="AP13" s="27" t="s">
        <v>7</v>
      </c>
      <c r="AU13" s="31">
        <f>AV13+AW13</f>
        <v>0</v>
      </c>
      <c r="AV13" s="31">
        <f>F13*AN13</f>
        <v>0</v>
      </c>
      <c r="AW13" s="31">
        <f>F13*AO13</f>
        <v>0</v>
      </c>
      <c r="AX13" s="32" t="s">
        <v>1154</v>
      </c>
      <c r="AY13" s="32" t="s">
        <v>1200</v>
      </c>
      <c r="AZ13" s="26" t="s">
        <v>1215</v>
      </c>
      <c r="BB13" s="31">
        <f>AV13+AW13</f>
        <v>0</v>
      </c>
      <c r="BC13" s="31">
        <f>G13/(100-BD13)*100</f>
        <v>0</v>
      </c>
      <c r="BD13" s="31">
        <v>0</v>
      </c>
      <c r="BE13" s="31">
        <f>L13</f>
        <v>0</v>
      </c>
      <c r="BG13" s="17">
        <f>F13*AN13</f>
        <v>0</v>
      </c>
      <c r="BH13" s="17">
        <f>F13*AO13</f>
        <v>0</v>
      </c>
      <c r="BI13" s="17">
        <f>F13*G13</f>
        <v>0</v>
      </c>
    </row>
    <row r="14" spans="1:61" ht="13.5" thickBot="1">
      <c r="A14" s="5" t="s">
        <v>8</v>
      </c>
      <c r="B14" s="5"/>
      <c r="C14" s="5" t="s">
        <v>381</v>
      </c>
      <c r="D14" s="72" t="s">
        <v>741</v>
      </c>
      <c r="E14" s="5" t="s">
        <v>1120</v>
      </c>
      <c r="F14" s="18">
        <v>60</v>
      </c>
      <c r="G14" s="149">
        <v>0</v>
      </c>
      <c r="H14" s="18">
        <f>F14*AN14</f>
        <v>0</v>
      </c>
      <c r="I14" s="18">
        <f>F14*AO14</f>
        <v>0</v>
      </c>
      <c r="J14" s="18">
        <f>F14*G14</f>
        <v>0</v>
      </c>
      <c r="K14" s="18">
        <v>0.004</v>
      </c>
      <c r="L14" s="18">
        <f>F14*K14</f>
        <v>0.24</v>
      </c>
      <c r="Y14" s="31">
        <f>IF(AP14="5",BI14,0)</f>
        <v>0</v>
      </c>
      <c r="AA14" s="31">
        <f>IF(AP14="1",BG14,0)</f>
        <v>0</v>
      </c>
      <c r="AB14" s="31">
        <f>IF(AP14="1",BH14,0)</f>
        <v>0</v>
      </c>
      <c r="AC14" s="31">
        <f>IF(AP14="7",BG14,0)</f>
        <v>0</v>
      </c>
      <c r="AD14" s="31">
        <f>IF(AP14="7",BH14,0)</f>
        <v>0</v>
      </c>
      <c r="AE14" s="31">
        <f>IF(AP14="2",BG14,0)</f>
        <v>0</v>
      </c>
      <c r="AF14" s="31">
        <f>IF(AP14="2",BH14,0)</f>
        <v>0</v>
      </c>
      <c r="AG14" s="31">
        <f>IF(AP14="0",BI14,0)</f>
        <v>0</v>
      </c>
      <c r="AH14" s="26"/>
      <c r="AI14" s="18">
        <f>IF(AM14=0,J14,0)</f>
        <v>0</v>
      </c>
      <c r="AJ14" s="18">
        <f>IF(AM14=15,J14,0)</f>
        <v>0</v>
      </c>
      <c r="AK14" s="18">
        <f>IF(AM14=21,J14,0)</f>
        <v>0</v>
      </c>
      <c r="AM14" s="31">
        <v>21</v>
      </c>
      <c r="AN14" s="31">
        <f>G14*1</f>
        <v>0</v>
      </c>
      <c r="AO14" s="31">
        <f>G14*(1-1)</f>
        <v>0</v>
      </c>
      <c r="AP14" s="28" t="s">
        <v>7</v>
      </c>
      <c r="AU14" s="31">
        <f>AV14+AW14</f>
        <v>0</v>
      </c>
      <c r="AV14" s="31">
        <f>F14*AN14</f>
        <v>0</v>
      </c>
      <c r="AW14" s="31">
        <f>F14*AO14</f>
        <v>0</v>
      </c>
      <c r="AX14" s="32" t="s">
        <v>1154</v>
      </c>
      <c r="AY14" s="32" t="s">
        <v>1200</v>
      </c>
      <c r="AZ14" s="26" t="s">
        <v>1215</v>
      </c>
      <c r="BB14" s="31">
        <f>AV14+AW14</f>
        <v>0</v>
      </c>
      <c r="BC14" s="31">
        <f>G14/(100-BD14)*100</f>
        <v>0</v>
      </c>
      <c r="BD14" s="31">
        <v>0</v>
      </c>
      <c r="BE14" s="31">
        <f>L14</f>
        <v>0.24</v>
      </c>
      <c r="BG14" s="18">
        <f>F14*AN14</f>
        <v>0</v>
      </c>
      <c r="BH14" s="18">
        <f>F14*AO14</f>
        <v>0</v>
      </c>
      <c r="BI14" s="18">
        <f>F14*G14</f>
        <v>0</v>
      </c>
    </row>
    <row r="15" spans="1:46" ht="12.75">
      <c r="A15" s="6"/>
      <c r="B15" s="13"/>
      <c r="C15" s="13" t="s">
        <v>19</v>
      </c>
      <c r="D15" s="73" t="s">
        <v>742</v>
      </c>
      <c r="E15" s="6" t="s">
        <v>6</v>
      </c>
      <c r="F15" s="6" t="s">
        <v>6</v>
      </c>
      <c r="G15" s="150" t="s">
        <v>6</v>
      </c>
      <c r="H15" s="34">
        <f>SUM(H16:H17)</f>
        <v>0</v>
      </c>
      <c r="I15" s="34">
        <f>SUM(I16:I17)</f>
        <v>0</v>
      </c>
      <c r="J15" s="34">
        <f>SUM(J16:J17)</f>
        <v>0</v>
      </c>
      <c r="K15" s="26"/>
      <c r="L15" s="34">
        <f>SUM(L16:L17)</f>
        <v>0</v>
      </c>
      <c r="AH15" s="26"/>
      <c r="AR15" s="34">
        <f>SUM(AI16:AI17)</f>
        <v>0</v>
      </c>
      <c r="AS15" s="34">
        <f>SUM(AJ16:AJ17)</f>
        <v>0</v>
      </c>
      <c r="AT15" s="34">
        <f>SUM(AK16:AK17)</f>
        <v>0</v>
      </c>
    </row>
    <row r="16" spans="1:61" ht="12.75">
      <c r="A16" s="4" t="s">
        <v>9</v>
      </c>
      <c r="B16" s="4"/>
      <c r="C16" s="4" t="s">
        <v>382</v>
      </c>
      <c r="D16" s="71" t="s">
        <v>743</v>
      </c>
      <c r="E16" s="4" t="s">
        <v>1119</v>
      </c>
      <c r="F16" s="17">
        <v>76.012</v>
      </c>
      <c r="G16" s="148">
        <v>0</v>
      </c>
      <c r="H16" s="17">
        <f>F16*AN16</f>
        <v>0</v>
      </c>
      <c r="I16" s="17">
        <f>F16*AO16</f>
        <v>0</v>
      </c>
      <c r="J16" s="17">
        <f>F16*G16</f>
        <v>0</v>
      </c>
      <c r="K16" s="17">
        <v>0</v>
      </c>
      <c r="L16" s="17">
        <f>F16*K16</f>
        <v>0</v>
      </c>
      <c r="Y16" s="31">
        <f>IF(AP16="5",BI16,0)</f>
        <v>0</v>
      </c>
      <c r="AA16" s="31">
        <f>IF(AP16="1",BG16,0)</f>
        <v>0</v>
      </c>
      <c r="AB16" s="31">
        <f>IF(AP16="1",BH16,0)</f>
        <v>0</v>
      </c>
      <c r="AC16" s="31">
        <f>IF(AP16="7",BG16,0)</f>
        <v>0</v>
      </c>
      <c r="AD16" s="31">
        <f>IF(AP16="7",BH16,0)</f>
        <v>0</v>
      </c>
      <c r="AE16" s="31">
        <f>IF(AP16="2",BG16,0)</f>
        <v>0</v>
      </c>
      <c r="AF16" s="31">
        <f>IF(AP16="2",BH16,0)</f>
        <v>0</v>
      </c>
      <c r="AG16" s="31">
        <f>IF(AP16="0",BI16,0)</f>
        <v>0</v>
      </c>
      <c r="AH16" s="26"/>
      <c r="AI16" s="17">
        <f>IF(AM16=0,J16,0)</f>
        <v>0</v>
      </c>
      <c r="AJ16" s="17">
        <f>IF(AM16=15,J16,0)</f>
        <v>0</v>
      </c>
      <c r="AK16" s="17">
        <f>IF(AM16=21,J16,0)</f>
        <v>0</v>
      </c>
      <c r="AM16" s="31">
        <v>21</v>
      </c>
      <c r="AN16" s="31">
        <f>G16*0</f>
        <v>0</v>
      </c>
      <c r="AO16" s="31">
        <f>G16*(1-0)</f>
        <v>0</v>
      </c>
      <c r="AP16" s="27" t="s">
        <v>7</v>
      </c>
      <c r="AU16" s="31">
        <f>AV16+AW16</f>
        <v>0</v>
      </c>
      <c r="AV16" s="31">
        <f>F16*AN16</f>
        <v>0</v>
      </c>
      <c r="AW16" s="31">
        <f>F16*AO16</f>
        <v>0</v>
      </c>
      <c r="AX16" s="32" t="s">
        <v>1155</v>
      </c>
      <c r="AY16" s="32" t="s">
        <v>1200</v>
      </c>
      <c r="AZ16" s="26" t="s">
        <v>1215</v>
      </c>
      <c r="BB16" s="31">
        <f>AV16+AW16</f>
        <v>0</v>
      </c>
      <c r="BC16" s="31">
        <f>G16/(100-BD16)*100</f>
        <v>0</v>
      </c>
      <c r="BD16" s="31">
        <v>0</v>
      </c>
      <c r="BE16" s="31">
        <f>L16</f>
        <v>0</v>
      </c>
      <c r="BG16" s="17">
        <f>F16*AN16</f>
        <v>0</v>
      </c>
      <c r="BH16" s="17">
        <f>F16*AO16</f>
        <v>0</v>
      </c>
      <c r="BI16" s="17">
        <f>F16*G16</f>
        <v>0</v>
      </c>
    </row>
    <row r="17" spans="1:61" ht="13.5" thickBot="1">
      <c r="A17" s="4" t="s">
        <v>10</v>
      </c>
      <c r="B17" s="4"/>
      <c r="C17" s="4" t="s">
        <v>382</v>
      </c>
      <c r="D17" s="71" t="s">
        <v>743</v>
      </c>
      <c r="E17" s="4" t="s">
        <v>1119</v>
      </c>
      <c r="F17" s="17">
        <v>80</v>
      </c>
      <c r="G17" s="148">
        <v>0</v>
      </c>
      <c r="H17" s="17">
        <f>F17*AN17</f>
        <v>0</v>
      </c>
      <c r="I17" s="17">
        <f>F17*AO17</f>
        <v>0</v>
      </c>
      <c r="J17" s="17">
        <f>F17*G17</f>
        <v>0</v>
      </c>
      <c r="K17" s="17">
        <v>0</v>
      </c>
      <c r="L17" s="17">
        <f>F17*K17</f>
        <v>0</v>
      </c>
      <c r="Y17" s="31">
        <f>IF(AP17="5",BI17,0)</f>
        <v>0</v>
      </c>
      <c r="AA17" s="31">
        <f>IF(AP17="1",BG17,0)</f>
        <v>0</v>
      </c>
      <c r="AB17" s="31">
        <f>IF(AP17="1",BH17,0)</f>
        <v>0</v>
      </c>
      <c r="AC17" s="31">
        <f>IF(AP17="7",BG17,0)</f>
        <v>0</v>
      </c>
      <c r="AD17" s="31">
        <f>IF(AP17="7",BH17,0)</f>
        <v>0</v>
      </c>
      <c r="AE17" s="31">
        <f>IF(AP17="2",BG17,0)</f>
        <v>0</v>
      </c>
      <c r="AF17" s="31">
        <f>IF(AP17="2",BH17,0)</f>
        <v>0</v>
      </c>
      <c r="AG17" s="31">
        <f>IF(AP17="0",BI17,0)</f>
        <v>0</v>
      </c>
      <c r="AH17" s="26"/>
      <c r="AI17" s="17">
        <f>IF(AM17=0,J17,0)</f>
        <v>0</v>
      </c>
      <c r="AJ17" s="17">
        <f>IF(AM17=15,J17,0)</f>
        <v>0</v>
      </c>
      <c r="AK17" s="17">
        <f>IF(AM17=21,J17,0)</f>
        <v>0</v>
      </c>
      <c r="AM17" s="31">
        <v>21</v>
      </c>
      <c r="AN17" s="31">
        <f>G17*0</f>
        <v>0</v>
      </c>
      <c r="AO17" s="31">
        <f>G17*(1-0)</f>
        <v>0</v>
      </c>
      <c r="AP17" s="27" t="s">
        <v>7</v>
      </c>
      <c r="AU17" s="31">
        <f>AV17+AW17</f>
        <v>0</v>
      </c>
      <c r="AV17" s="31">
        <f>F17*AN17</f>
        <v>0</v>
      </c>
      <c r="AW17" s="31">
        <f>F17*AO17</f>
        <v>0</v>
      </c>
      <c r="AX17" s="32" t="s">
        <v>1155</v>
      </c>
      <c r="AY17" s="32" t="s">
        <v>1200</v>
      </c>
      <c r="AZ17" s="26" t="s">
        <v>1215</v>
      </c>
      <c r="BB17" s="31">
        <f>AV17+AW17</f>
        <v>0</v>
      </c>
      <c r="BC17" s="31">
        <f>G17/(100-BD17)*100</f>
        <v>0</v>
      </c>
      <c r="BD17" s="31">
        <v>0</v>
      </c>
      <c r="BE17" s="31">
        <f>L17</f>
        <v>0</v>
      </c>
      <c r="BG17" s="17">
        <f>F17*AN17</f>
        <v>0</v>
      </c>
      <c r="BH17" s="17">
        <f>F17*AO17</f>
        <v>0</v>
      </c>
      <c r="BI17" s="17">
        <f>F17*G17</f>
        <v>0</v>
      </c>
    </row>
    <row r="18" spans="1:46" ht="12.75">
      <c r="A18" s="6"/>
      <c r="B18" s="13"/>
      <c r="C18" s="13" t="s">
        <v>21</v>
      </c>
      <c r="D18" s="73" t="s">
        <v>744</v>
      </c>
      <c r="E18" s="6" t="s">
        <v>6</v>
      </c>
      <c r="F18" s="6" t="s">
        <v>6</v>
      </c>
      <c r="G18" s="150" t="s">
        <v>6</v>
      </c>
      <c r="H18" s="34">
        <f>SUM(H19:H20)</f>
        <v>0</v>
      </c>
      <c r="I18" s="34">
        <f>SUM(I19:I20)</f>
        <v>0</v>
      </c>
      <c r="J18" s="34">
        <f>SUM(J19:J20)</f>
        <v>0</v>
      </c>
      <c r="K18" s="26"/>
      <c r="L18" s="34">
        <f>SUM(L19:L20)</f>
        <v>0.24644000000000002</v>
      </c>
      <c r="AH18" s="26"/>
      <c r="AR18" s="34">
        <f>SUM(AI19:AI20)</f>
        <v>0</v>
      </c>
      <c r="AS18" s="34">
        <f>SUM(AJ19:AJ20)</f>
        <v>0</v>
      </c>
      <c r="AT18" s="34">
        <f>SUM(AK19:AK20)</f>
        <v>0</v>
      </c>
    </row>
    <row r="19" spans="1:61" ht="12.75">
      <c r="A19" s="4" t="s">
        <v>11</v>
      </c>
      <c r="B19" s="4"/>
      <c r="C19" s="4" t="s">
        <v>383</v>
      </c>
      <c r="D19" s="71" t="s">
        <v>745</v>
      </c>
      <c r="E19" s="4" t="s">
        <v>1121</v>
      </c>
      <c r="F19" s="17">
        <v>122</v>
      </c>
      <c r="G19" s="148">
        <v>0</v>
      </c>
      <c r="H19" s="17">
        <f>F19*AN19</f>
        <v>0</v>
      </c>
      <c r="I19" s="17">
        <f>F19*AO19</f>
        <v>0</v>
      </c>
      <c r="J19" s="17">
        <f>F19*G19</f>
        <v>0</v>
      </c>
      <c r="K19" s="17">
        <v>0.00202</v>
      </c>
      <c r="L19" s="17">
        <f>F19*K19</f>
        <v>0.24644000000000002</v>
      </c>
      <c r="Y19" s="31">
        <f>IF(AP19="5",BI19,0)</f>
        <v>0</v>
      </c>
      <c r="AA19" s="31">
        <f>IF(AP19="1",BG19,0)</f>
        <v>0</v>
      </c>
      <c r="AB19" s="31">
        <f>IF(AP19="1",BH19,0)</f>
        <v>0</v>
      </c>
      <c r="AC19" s="31">
        <f>IF(AP19="7",BG19,0)</f>
        <v>0</v>
      </c>
      <c r="AD19" s="31">
        <f>IF(AP19="7",BH19,0)</f>
        <v>0</v>
      </c>
      <c r="AE19" s="31">
        <f>IF(AP19="2",BG19,0)</f>
        <v>0</v>
      </c>
      <c r="AF19" s="31">
        <f>IF(AP19="2",BH19,0)</f>
        <v>0</v>
      </c>
      <c r="AG19" s="31">
        <f>IF(AP19="0",BI19,0)</f>
        <v>0</v>
      </c>
      <c r="AH19" s="26"/>
      <c r="AI19" s="17">
        <f>IF(AM19=0,J19,0)</f>
        <v>0</v>
      </c>
      <c r="AJ19" s="17">
        <f>IF(AM19=15,J19,0)</f>
        <v>0</v>
      </c>
      <c r="AK19" s="17">
        <f>IF(AM19=21,J19,0)</f>
        <v>0</v>
      </c>
      <c r="AM19" s="31">
        <v>21</v>
      </c>
      <c r="AN19" s="31">
        <f>G19*0.147173733825585</f>
        <v>0</v>
      </c>
      <c r="AO19" s="31">
        <f>G19*(1-0.147173733825585)</f>
        <v>0</v>
      </c>
      <c r="AP19" s="27" t="s">
        <v>7</v>
      </c>
      <c r="AU19" s="31">
        <f>AV19+AW19</f>
        <v>0</v>
      </c>
      <c r="AV19" s="31">
        <f>F19*AN19</f>
        <v>0</v>
      </c>
      <c r="AW19" s="31">
        <f>F19*AO19</f>
        <v>0</v>
      </c>
      <c r="AX19" s="32" t="s">
        <v>1156</v>
      </c>
      <c r="AY19" s="32" t="s">
        <v>1200</v>
      </c>
      <c r="AZ19" s="26" t="s">
        <v>1215</v>
      </c>
      <c r="BB19" s="31">
        <f>AV19+AW19</f>
        <v>0</v>
      </c>
      <c r="BC19" s="31">
        <f>G19/(100-BD19)*100</f>
        <v>0</v>
      </c>
      <c r="BD19" s="31">
        <v>0</v>
      </c>
      <c r="BE19" s="31">
        <f>L19</f>
        <v>0.24644000000000002</v>
      </c>
      <c r="BG19" s="17">
        <f>F19*AN19</f>
        <v>0</v>
      </c>
      <c r="BH19" s="17">
        <f>F19*AO19</f>
        <v>0</v>
      </c>
      <c r="BI19" s="17">
        <f>F19*G19</f>
        <v>0</v>
      </c>
    </row>
    <row r="20" spans="1:61" ht="13.5" thickBot="1">
      <c r="A20" s="4" t="s">
        <v>12</v>
      </c>
      <c r="B20" s="4"/>
      <c r="C20" s="4" t="s">
        <v>384</v>
      </c>
      <c r="D20" s="71" t="s">
        <v>746</v>
      </c>
      <c r="E20" s="4" t="s">
        <v>1121</v>
      </c>
      <c r="F20" s="17">
        <v>122</v>
      </c>
      <c r="G20" s="148">
        <v>0</v>
      </c>
      <c r="H20" s="17">
        <f>F20*AN20</f>
        <v>0</v>
      </c>
      <c r="I20" s="17">
        <f>F20*AO20</f>
        <v>0</v>
      </c>
      <c r="J20" s="17">
        <f>F20*G20</f>
        <v>0</v>
      </c>
      <c r="K20" s="17">
        <v>0</v>
      </c>
      <c r="L20" s="17">
        <f>F20*K20</f>
        <v>0</v>
      </c>
      <c r="Y20" s="31">
        <f>IF(AP20="5",BI20,0)</f>
        <v>0</v>
      </c>
      <c r="AA20" s="31">
        <f>IF(AP20="1",BG20,0)</f>
        <v>0</v>
      </c>
      <c r="AB20" s="31">
        <f>IF(AP20="1",BH20,0)</f>
        <v>0</v>
      </c>
      <c r="AC20" s="31">
        <f>IF(AP20="7",BG20,0)</f>
        <v>0</v>
      </c>
      <c r="AD20" s="31">
        <f>IF(AP20="7",BH20,0)</f>
        <v>0</v>
      </c>
      <c r="AE20" s="31">
        <f>IF(AP20="2",BG20,0)</f>
        <v>0</v>
      </c>
      <c r="AF20" s="31">
        <f>IF(AP20="2",BH20,0)</f>
        <v>0</v>
      </c>
      <c r="AG20" s="31">
        <f>IF(AP20="0",BI20,0)</f>
        <v>0</v>
      </c>
      <c r="AH20" s="26"/>
      <c r="AI20" s="17">
        <f>IF(AM20=0,J20,0)</f>
        <v>0</v>
      </c>
      <c r="AJ20" s="17">
        <f>IF(AM20=15,J20,0)</f>
        <v>0</v>
      </c>
      <c r="AK20" s="17">
        <f>IF(AM20=21,J20,0)</f>
        <v>0</v>
      </c>
      <c r="AM20" s="31">
        <v>21</v>
      </c>
      <c r="AN20" s="31">
        <f>G20*0</f>
        <v>0</v>
      </c>
      <c r="AO20" s="31">
        <f>G20*(1-0)</f>
        <v>0</v>
      </c>
      <c r="AP20" s="27" t="s">
        <v>7</v>
      </c>
      <c r="AU20" s="31">
        <f>AV20+AW20</f>
        <v>0</v>
      </c>
      <c r="AV20" s="31">
        <f>F20*AN20</f>
        <v>0</v>
      </c>
      <c r="AW20" s="31">
        <f>F20*AO20</f>
        <v>0</v>
      </c>
      <c r="AX20" s="32" t="s">
        <v>1156</v>
      </c>
      <c r="AY20" s="32" t="s">
        <v>1200</v>
      </c>
      <c r="AZ20" s="26" t="s">
        <v>1215</v>
      </c>
      <c r="BB20" s="31">
        <f>AV20+AW20</f>
        <v>0</v>
      </c>
      <c r="BC20" s="31">
        <f>G20/(100-BD20)*100</f>
        <v>0</v>
      </c>
      <c r="BD20" s="31">
        <v>0</v>
      </c>
      <c r="BE20" s="31">
        <f>L20</f>
        <v>0</v>
      </c>
      <c r="BG20" s="17">
        <f>F20*AN20</f>
        <v>0</v>
      </c>
      <c r="BH20" s="17">
        <f>F20*AO20</f>
        <v>0</v>
      </c>
      <c r="BI20" s="17">
        <f>F20*G20</f>
        <v>0</v>
      </c>
    </row>
    <row r="21" spans="1:46" ht="12.75">
      <c r="A21" s="6"/>
      <c r="B21" s="13"/>
      <c r="C21" s="13" t="s">
        <v>22</v>
      </c>
      <c r="D21" s="73" t="s">
        <v>747</v>
      </c>
      <c r="E21" s="6" t="s">
        <v>6</v>
      </c>
      <c r="F21" s="6" t="s">
        <v>6</v>
      </c>
      <c r="G21" s="150" t="s">
        <v>6</v>
      </c>
      <c r="H21" s="34">
        <f>SUM(H22:H27)</f>
        <v>0</v>
      </c>
      <c r="I21" s="34">
        <f>SUM(I22:I27)</f>
        <v>0</v>
      </c>
      <c r="J21" s="34">
        <f>SUM(J22:J27)</f>
        <v>0</v>
      </c>
      <c r="K21" s="26"/>
      <c r="L21" s="34">
        <f>SUM(L22:L27)</f>
        <v>0</v>
      </c>
      <c r="AH21" s="26"/>
      <c r="AR21" s="34">
        <f>SUM(AI22:AI27)</f>
        <v>0</v>
      </c>
      <c r="AS21" s="34">
        <f>SUM(AJ22:AJ27)</f>
        <v>0</v>
      </c>
      <c r="AT21" s="34">
        <f>SUM(AK22:AK27)</f>
        <v>0</v>
      </c>
    </row>
    <row r="22" spans="1:61" ht="12.75">
      <c r="A22" s="4" t="s">
        <v>13</v>
      </c>
      <c r="B22" s="4"/>
      <c r="C22" s="4" t="s">
        <v>385</v>
      </c>
      <c r="D22" s="71" t="s">
        <v>748</v>
      </c>
      <c r="E22" s="4" t="s">
        <v>1119</v>
      </c>
      <c r="F22" s="17">
        <v>47.3</v>
      </c>
      <c r="G22" s="148">
        <v>0</v>
      </c>
      <c r="H22" s="17">
        <f aca="true" t="shared" si="0" ref="H22:H27">F22*AN22</f>
        <v>0</v>
      </c>
      <c r="I22" s="17">
        <f aca="true" t="shared" si="1" ref="I22:I27">F22*AO22</f>
        <v>0</v>
      </c>
      <c r="J22" s="17">
        <f aca="true" t="shared" si="2" ref="J22:J27">F22*G22</f>
        <v>0</v>
      </c>
      <c r="K22" s="17">
        <v>0</v>
      </c>
      <c r="L22" s="17">
        <f aca="true" t="shared" si="3" ref="L22:L27">F22*K22</f>
        <v>0</v>
      </c>
      <c r="Y22" s="31">
        <f aca="true" t="shared" si="4" ref="Y22:Y27">IF(AP22="5",BI22,0)</f>
        <v>0</v>
      </c>
      <c r="AA22" s="31">
        <f aca="true" t="shared" si="5" ref="AA22:AA27">IF(AP22="1",BG22,0)</f>
        <v>0</v>
      </c>
      <c r="AB22" s="31">
        <f aca="true" t="shared" si="6" ref="AB22:AB27">IF(AP22="1",BH22,0)</f>
        <v>0</v>
      </c>
      <c r="AC22" s="31">
        <f aca="true" t="shared" si="7" ref="AC22:AC27">IF(AP22="7",BG22,0)</f>
        <v>0</v>
      </c>
      <c r="AD22" s="31">
        <f aca="true" t="shared" si="8" ref="AD22:AD27">IF(AP22="7",BH22,0)</f>
        <v>0</v>
      </c>
      <c r="AE22" s="31">
        <f aca="true" t="shared" si="9" ref="AE22:AE27">IF(AP22="2",BG22,0)</f>
        <v>0</v>
      </c>
      <c r="AF22" s="31">
        <f aca="true" t="shared" si="10" ref="AF22:AF27">IF(AP22="2",BH22,0)</f>
        <v>0</v>
      </c>
      <c r="AG22" s="31">
        <f aca="true" t="shared" si="11" ref="AG22:AG27">IF(AP22="0",BI22,0)</f>
        <v>0</v>
      </c>
      <c r="AH22" s="26"/>
      <c r="AI22" s="17">
        <f aca="true" t="shared" si="12" ref="AI22:AI27">IF(AM22=0,J22,0)</f>
        <v>0</v>
      </c>
      <c r="AJ22" s="17">
        <f aca="true" t="shared" si="13" ref="AJ22:AJ27">IF(AM22=15,J22,0)</f>
        <v>0</v>
      </c>
      <c r="AK22" s="17">
        <f aca="true" t="shared" si="14" ref="AK22:AK27">IF(AM22=21,J22,0)</f>
        <v>0</v>
      </c>
      <c r="AM22" s="31">
        <v>21</v>
      </c>
      <c r="AN22" s="31">
        <f aca="true" t="shared" si="15" ref="AN22:AN27">G22*0</f>
        <v>0</v>
      </c>
      <c r="AO22" s="31">
        <f aca="true" t="shared" si="16" ref="AO22:AO27">G22*(1-0)</f>
        <v>0</v>
      </c>
      <c r="AP22" s="27" t="s">
        <v>7</v>
      </c>
      <c r="AU22" s="31">
        <f aca="true" t="shared" si="17" ref="AU22:AU27">AV22+AW22</f>
        <v>0</v>
      </c>
      <c r="AV22" s="31">
        <f aca="true" t="shared" si="18" ref="AV22:AV27">F22*AN22</f>
        <v>0</v>
      </c>
      <c r="AW22" s="31">
        <f aca="true" t="shared" si="19" ref="AW22:AW27">F22*AO22</f>
        <v>0</v>
      </c>
      <c r="AX22" s="32" t="s">
        <v>1157</v>
      </c>
      <c r="AY22" s="32" t="s">
        <v>1200</v>
      </c>
      <c r="AZ22" s="26" t="s">
        <v>1215</v>
      </c>
      <c r="BB22" s="31">
        <f aca="true" t="shared" si="20" ref="BB22:BB27">AV22+AW22</f>
        <v>0</v>
      </c>
      <c r="BC22" s="31">
        <f aca="true" t="shared" si="21" ref="BC22:BC27">G22/(100-BD22)*100</f>
        <v>0</v>
      </c>
      <c r="BD22" s="31">
        <v>0</v>
      </c>
      <c r="BE22" s="31">
        <f aca="true" t="shared" si="22" ref="BE22:BE27">L22</f>
        <v>0</v>
      </c>
      <c r="BG22" s="17">
        <f aca="true" t="shared" si="23" ref="BG22:BG27">F22*AN22</f>
        <v>0</v>
      </c>
      <c r="BH22" s="17">
        <f aca="true" t="shared" si="24" ref="BH22:BH27">F22*AO22</f>
        <v>0</v>
      </c>
      <c r="BI22" s="17">
        <f aca="true" t="shared" si="25" ref="BI22:BI27">F22*G22</f>
        <v>0</v>
      </c>
    </row>
    <row r="23" spans="1:61" ht="12.75">
      <c r="A23" s="4" t="s">
        <v>14</v>
      </c>
      <c r="B23" s="4"/>
      <c r="C23" s="4" t="s">
        <v>386</v>
      </c>
      <c r="D23" s="71" t="s">
        <v>749</v>
      </c>
      <c r="E23" s="4" t="s">
        <v>1119</v>
      </c>
      <c r="F23" s="17">
        <v>69</v>
      </c>
      <c r="G23" s="148">
        <v>0</v>
      </c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</v>
      </c>
      <c r="L23" s="17">
        <f t="shared" si="3"/>
        <v>0</v>
      </c>
      <c r="Y23" s="31">
        <f t="shared" si="4"/>
        <v>0</v>
      </c>
      <c r="AA23" s="31">
        <f t="shared" si="5"/>
        <v>0</v>
      </c>
      <c r="AB23" s="31">
        <f t="shared" si="6"/>
        <v>0</v>
      </c>
      <c r="AC23" s="31">
        <f t="shared" si="7"/>
        <v>0</v>
      </c>
      <c r="AD23" s="31">
        <f t="shared" si="8"/>
        <v>0</v>
      </c>
      <c r="AE23" s="31">
        <f t="shared" si="9"/>
        <v>0</v>
      </c>
      <c r="AF23" s="31">
        <f t="shared" si="10"/>
        <v>0</v>
      </c>
      <c r="AG23" s="31">
        <f t="shared" si="11"/>
        <v>0</v>
      </c>
      <c r="AH23" s="26"/>
      <c r="AI23" s="17">
        <f t="shared" si="12"/>
        <v>0</v>
      </c>
      <c r="AJ23" s="17">
        <f t="shared" si="13"/>
        <v>0</v>
      </c>
      <c r="AK23" s="17">
        <f t="shared" si="14"/>
        <v>0</v>
      </c>
      <c r="AM23" s="31">
        <v>21</v>
      </c>
      <c r="AN23" s="31">
        <f t="shared" si="15"/>
        <v>0</v>
      </c>
      <c r="AO23" s="31">
        <f t="shared" si="16"/>
        <v>0</v>
      </c>
      <c r="AP23" s="27" t="s">
        <v>7</v>
      </c>
      <c r="AU23" s="31">
        <f t="shared" si="17"/>
        <v>0</v>
      </c>
      <c r="AV23" s="31">
        <f t="shared" si="18"/>
        <v>0</v>
      </c>
      <c r="AW23" s="31">
        <f t="shared" si="19"/>
        <v>0</v>
      </c>
      <c r="AX23" s="32" t="s">
        <v>1157</v>
      </c>
      <c r="AY23" s="32" t="s">
        <v>1200</v>
      </c>
      <c r="AZ23" s="26" t="s">
        <v>1215</v>
      </c>
      <c r="BB23" s="31">
        <f t="shared" si="20"/>
        <v>0</v>
      </c>
      <c r="BC23" s="31">
        <f t="shared" si="21"/>
        <v>0</v>
      </c>
      <c r="BD23" s="31">
        <v>0</v>
      </c>
      <c r="BE23" s="31">
        <f t="shared" si="22"/>
        <v>0</v>
      </c>
      <c r="BG23" s="17">
        <f t="shared" si="23"/>
        <v>0</v>
      </c>
      <c r="BH23" s="17">
        <f t="shared" si="24"/>
        <v>0</v>
      </c>
      <c r="BI23" s="17">
        <f t="shared" si="25"/>
        <v>0</v>
      </c>
    </row>
    <row r="24" spans="1:61" ht="25.5">
      <c r="A24" s="4" t="s">
        <v>15</v>
      </c>
      <c r="B24" s="4"/>
      <c r="C24" s="4" t="s">
        <v>387</v>
      </c>
      <c r="D24" s="71" t="s">
        <v>750</v>
      </c>
      <c r="E24" s="4" t="s">
        <v>1119</v>
      </c>
      <c r="F24" s="17">
        <v>1380</v>
      </c>
      <c r="G24" s="148">
        <v>0</v>
      </c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</v>
      </c>
      <c r="L24" s="17">
        <f t="shared" si="3"/>
        <v>0</v>
      </c>
      <c r="Y24" s="31">
        <f t="shared" si="4"/>
        <v>0</v>
      </c>
      <c r="AA24" s="31">
        <f t="shared" si="5"/>
        <v>0</v>
      </c>
      <c r="AB24" s="31">
        <f t="shared" si="6"/>
        <v>0</v>
      </c>
      <c r="AC24" s="31">
        <f t="shared" si="7"/>
        <v>0</v>
      </c>
      <c r="AD24" s="31">
        <f t="shared" si="8"/>
        <v>0</v>
      </c>
      <c r="AE24" s="31">
        <f t="shared" si="9"/>
        <v>0</v>
      </c>
      <c r="AF24" s="31">
        <f t="shared" si="10"/>
        <v>0</v>
      </c>
      <c r="AG24" s="31">
        <f t="shared" si="11"/>
        <v>0</v>
      </c>
      <c r="AH24" s="26"/>
      <c r="AI24" s="17">
        <f t="shared" si="12"/>
        <v>0</v>
      </c>
      <c r="AJ24" s="17">
        <f t="shared" si="13"/>
        <v>0</v>
      </c>
      <c r="AK24" s="17">
        <f t="shared" si="14"/>
        <v>0</v>
      </c>
      <c r="AM24" s="31">
        <v>21</v>
      </c>
      <c r="AN24" s="31">
        <f t="shared" si="15"/>
        <v>0</v>
      </c>
      <c r="AO24" s="31">
        <f t="shared" si="16"/>
        <v>0</v>
      </c>
      <c r="AP24" s="27" t="s">
        <v>7</v>
      </c>
      <c r="AU24" s="31">
        <f t="shared" si="17"/>
        <v>0</v>
      </c>
      <c r="AV24" s="31">
        <f t="shared" si="18"/>
        <v>0</v>
      </c>
      <c r="AW24" s="31">
        <f t="shared" si="19"/>
        <v>0</v>
      </c>
      <c r="AX24" s="32" t="s">
        <v>1157</v>
      </c>
      <c r="AY24" s="32" t="s">
        <v>1200</v>
      </c>
      <c r="AZ24" s="26" t="s">
        <v>1215</v>
      </c>
      <c r="BB24" s="31">
        <f t="shared" si="20"/>
        <v>0</v>
      </c>
      <c r="BC24" s="31">
        <f t="shared" si="21"/>
        <v>0</v>
      </c>
      <c r="BD24" s="31">
        <v>0</v>
      </c>
      <c r="BE24" s="31">
        <f t="shared" si="22"/>
        <v>0</v>
      </c>
      <c r="BG24" s="17">
        <f t="shared" si="23"/>
        <v>0</v>
      </c>
      <c r="BH24" s="17">
        <f t="shared" si="24"/>
        <v>0</v>
      </c>
      <c r="BI24" s="17">
        <f t="shared" si="25"/>
        <v>0</v>
      </c>
    </row>
    <row r="25" spans="1:61" ht="12.75">
      <c r="A25" s="4" t="s">
        <v>16</v>
      </c>
      <c r="B25" s="4"/>
      <c r="C25" s="4" t="s">
        <v>385</v>
      </c>
      <c r="D25" s="71" t="s">
        <v>748</v>
      </c>
      <c r="E25" s="4" t="s">
        <v>1119</v>
      </c>
      <c r="F25" s="17">
        <v>30.8</v>
      </c>
      <c r="G25" s="148">
        <v>0</v>
      </c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0</v>
      </c>
      <c r="L25" s="17">
        <f t="shared" si="3"/>
        <v>0</v>
      </c>
      <c r="Y25" s="31">
        <f t="shared" si="4"/>
        <v>0</v>
      </c>
      <c r="AA25" s="31">
        <f t="shared" si="5"/>
        <v>0</v>
      </c>
      <c r="AB25" s="31">
        <f t="shared" si="6"/>
        <v>0</v>
      </c>
      <c r="AC25" s="31">
        <f t="shared" si="7"/>
        <v>0</v>
      </c>
      <c r="AD25" s="31">
        <f t="shared" si="8"/>
        <v>0</v>
      </c>
      <c r="AE25" s="31">
        <f t="shared" si="9"/>
        <v>0</v>
      </c>
      <c r="AF25" s="31">
        <f t="shared" si="10"/>
        <v>0</v>
      </c>
      <c r="AG25" s="31">
        <f t="shared" si="11"/>
        <v>0</v>
      </c>
      <c r="AH25" s="26"/>
      <c r="AI25" s="17">
        <f t="shared" si="12"/>
        <v>0</v>
      </c>
      <c r="AJ25" s="17">
        <f t="shared" si="13"/>
        <v>0</v>
      </c>
      <c r="AK25" s="17">
        <f t="shared" si="14"/>
        <v>0</v>
      </c>
      <c r="AM25" s="31">
        <v>21</v>
      </c>
      <c r="AN25" s="31">
        <f t="shared" si="15"/>
        <v>0</v>
      </c>
      <c r="AO25" s="31">
        <f t="shared" si="16"/>
        <v>0</v>
      </c>
      <c r="AP25" s="27" t="s">
        <v>7</v>
      </c>
      <c r="AU25" s="31">
        <f t="shared" si="17"/>
        <v>0</v>
      </c>
      <c r="AV25" s="31">
        <f t="shared" si="18"/>
        <v>0</v>
      </c>
      <c r="AW25" s="31">
        <f t="shared" si="19"/>
        <v>0</v>
      </c>
      <c r="AX25" s="32" t="s">
        <v>1157</v>
      </c>
      <c r="AY25" s="32" t="s">
        <v>1200</v>
      </c>
      <c r="AZ25" s="26" t="s">
        <v>1215</v>
      </c>
      <c r="BB25" s="31">
        <f t="shared" si="20"/>
        <v>0</v>
      </c>
      <c r="BC25" s="31">
        <f t="shared" si="21"/>
        <v>0</v>
      </c>
      <c r="BD25" s="31">
        <v>0</v>
      </c>
      <c r="BE25" s="31">
        <f t="shared" si="22"/>
        <v>0</v>
      </c>
      <c r="BG25" s="17">
        <f t="shared" si="23"/>
        <v>0</v>
      </c>
      <c r="BH25" s="17">
        <f t="shared" si="24"/>
        <v>0</v>
      </c>
      <c r="BI25" s="17">
        <f t="shared" si="25"/>
        <v>0</v>
      </c>
    </row>
    <row r="26" spans="1:61" ht="12.75">
      <c r="A26" s="4" t="s">
        <v>17</v>
      </c>
      <c r="B26" s="4"/>
      <c r="C26" s="4" t="s">
        <v>386</v>
      </c>
      <c r="D26" s="71" t="s">
        <v>749</v>
      </c>
      <c r="E26" s="4" t="s">
        <v>1119</v>
      </c>
      <c r="F26" s="17">
        <v>30.8</v>
      </c>
      <c r="G26" s="148">
        <v>0</v>
      </c>
      <c r="H26" s="17">
        <f t="shared" si="0"/>
        <v>0</v>
      </c>
      <c r="I26" s="17">
        <f t="shared" si="1"/>
        <v>0</v>
      </c>
      <c r="J26" s="17">
        <f t="shared" si="2"/>
        <v>0</v>
      </c>
      <c r="K26" s="17">
        <v>0</v>
      </c>
      <c r="L26" s="17">
        <f t="shared" si="3"/>
        <v>0</v>
      </c>
      <c r="Y26" s="31">
        <f t="shared" si="4"/>
        <v>0</v>
      </c>
      <c r="AA26" s="31">
        <f t="shared" si="5"/>
        <v>0</v>
      </c>
      <c r="AB26" s="31">
        <f t="shared" si="6"/>
        <v>0</v>
      </c>
      <c r="AC26" s="31">
        <f t="shared" si="7"/>
        <v>0</v>
      </c>
      <c r="AD26" s="31">
        <f t="shared" si="8"/>
        <v>0</v>
      </c>
      <c r="AE26" s="31">
        <f t="shared" si="9"/>
        <v>0</v>
      </c>
      <c r="AF26" s="31">
        <f t="shared" si="10"/>
        <v>0</v>
      </c>
      <c r="AG26" s="31">
        <f t="shared" si="11"/>
        <v>0</v>
      </c>
      <c r="AH26" s="26"/>
      <c r="AI26" s="17">
        <f t="shared" si="12"/>
        <v>0</v>
      </c>
      <c r="AJ26" s="17">
        <f t="shared" si="13"/>
        <v>0</v>
      </c>
      <c r="AK26" s="17">
        <f t="shared" si="14"/>
        <v>0</v>
      </c>
      <c r="AM26" s="31">
        <v>21</v>
      </c>
      <c r="AN26" s="31">
        <f t="shared" si="15"/>
        <v>0</v>
      </c>
      <c r="AO26" s="31">
        <f t="shared" si="16"/>
        <v>0</v>
      </c>
      <c r="AP26" s="27" t="s">
        <v>7</v>
      </c>
      <c r="AU26" s="31">
        <f t="shared" si="17"/>
        <v>0</v>
      </c>
      <c r="AV26" s="31">
        <f t="shared" si="18"/>
        <v>0</v>
      </c>
      <c r="AW26" s="31">
        <f t="shared" si="19"/>
        <v>0</v>
      </c>
      <c r="AX26" s="32" t="s">
        <v>1157</v>
      </c>
      <c r="AY26" s="32" t="s">
        <v>1200</v>
      </c>
      <c r="AZ26" s="26" t="s">
        <v>1215</v>
      </c>
      <c r="BB26" s="31">
        <f t="shared" si="20"/>
        <v>0</v>
      </c>
      <c r="BC26" s="31">
        <f t="shared" si="21"/>
        <v>0</v>
      </c>
      <c r="BD26" s="31">
        <v>0</v>
      </c>
      <c r="BE26" s="31">
        <f t="shared" si="22"/>
        <v>0</v>
      </c>
      <c r="BG26" s="17">
        <f t="shared" si="23"/>
        <v>0</v>
      </c>
      <c r="BH26" s="17">
        <f t="shared" si="24"/>
        <v>0</v>
      </c>
      <c r="BI26" s="17">
        <f t="shared" si="25"/>
        <v>0</v>
      </c>
    </row>
    <row r="27" spans="1:61" ht="26.25" thickBot="1">
      <c r="A27" s="4" t="s">
        <v>18</v>
      </c>
      <c r="B27" s="4"/>
      <c r="C27" s="4" t="s">
        <v>387</v>
      </c>
      <c r="D27" s="71" t="s">
        <v>750</v>
      </c>
      <c r="E27" s="4" t="s">
        <v>1119</v>
      </c>
      <c r="F27" s="17">
        <v>616</v>
      </c>
      <c r="G27" s="148">
        <v>0</v>
      </c>
      <c r="H27" s="17">
        <f t="shared" si="0"/>
        <v>0</v>
      </c>
      <c r="I27" s="17">
        <f t="shared" si="1"/>
        <v>0</v>
      </c>
      <c r="J27" s="17">
        <f t="shared" si="2"/>
        <v>0</v>
      </c>
      <c r="K27" s="17">
        <v>0</v>
      </c>
      <c r="L27" s="17">
        <f t="shared" si="3"/>
        <v>0</v>
      </c>
      <c r="Y27" s="31">
        <f t="shared" si="4"/>
        <v>0</v>
      </c>
      <c r="AA27" s="31">
        <f t="shared" si="5"/>
        <v>0</v>
      </c>
      <c r="AB27" s="31">
        <f t="shared" si="6"/>
        <v>0</v>
      </c>
      <c r="AC27" s="31">
        <f t="shared" si="7"/>
        <v>0</v>
      </c>
      <c r="AD27" s="31">
        <f t="shared" si="8"/>
        <v>0</v>
      </c>
      <c r="AE27" s="31">
        <f t="shared" si="9"/>
        <v>0</v>
      </c>
      <c r="AF27" s="31">
        <f t="shared" si="10"/>
        <v>0</v>
      </c>
      <c r="AG27" s="31">
        <f t="shared" si="11"/>
        <v>0</v>
      </c>
      <c r="AH27" s="26"/>
      <c r="AI27" s="17">
        <f t="shared" si="12"/>
        <v>0</v>
      </c>
      <c r="AJ27" s="17">
        <f t="shared" si="13"/>
        <v>0</v>
      </c>
      <c r="AK27" s="17">
        <f t="shared" si="14"/>
        <v>0</v>
      </c>
      <c r="AM27" s="31">
        <v>21</v>
      </c>
      <c r="AN27" s="31">
        <f t="shared" si="15"/>
        <v>0</v>
      </c>
      <c r="AO27" s="31">
        <f t="shared" si="16"/>
        <v>0</v>
      </c>
      <c r="AP27" s="27" t="s">
        <v>7</v>
      </c>
      <c r="AU27" s="31">
        <f t="shared" si="17"/>
        <v>0</v>
      </c>
      <c r="AV27" s="31">
        <f t="shared" si="18"/>
        <v>0</v>
      </c>
      <c r="AW27" s="31">
        <f t="shared" si="19"/>
        <v>0</v>
      </c>
      <c r="AX27" s="32" t="s">
        <v>1157</v>
      </c>
      <c r="AY27" s="32" t="s">
        <v>1200</v>
      </c>
      <c r="AZ27" s="26" t="s">
        <v>1215</v>
      </c>
      <c r="BB27" s="31">
        <f t="shared" si="20"/>
        <v>0</v>
      </c>
      <c r="BC27" s="31">
        <f t="shared" si="21"/>
        <v>0</v>
      </c>
      <c r="BD27" s="31">
        <v>0</v>
      </c>
      <c r="BE27" s="31">
        <f t="shared" si="22"/>
        <v>0</v>
      </c>
      <c r="BG27" s="17">
        <f t="shared" si="23"/>
        <v>0</v>
      </c>
      <c r="BH27" s="17">
        <f t="shared" si="24"/>
        <v>0</v>
      </c>
      <c r="BI27" s="17">
        <f t="shared" si="25"/>
        <v>0</v>
      </c>
    </row>
    <row r="28" spans="1:46" ht="12.75">
      <c r="A28" s="6"/>
      <c r="B28" s="13"/>
      <c r="C28" s="13" t="s">
        <v>23</v>
      </c>
      <c r="D28" s="73" t="s">
        <v>751</v>
      </c>
      <c r="E28" s="6" t="s">
        <v>6</v>
      </c>
      <c r="F28" s="6" t="s">
        <v>6</v>
      </c>
      <c r="G28" s="150" t="s">
        <v>6</v>
      </c>
      <c r="H28" s="34">
        <f>SUM(H29:H31)</f>
        <v>0</v>
      </c>
      <c r="I28" s="34">
        <f>SUM(I29:I31)</f>
        <v>0</v>
      </c>
      <c r="J28" s="34">
        <f>SUM(J29:J31)</f>
        <v>0</v>
      </c>
      <c r="K28" s="26"/>
      <c r="L28" s="34">
        <f>SUM(L29:L31)</f>
        <v>51.436</v>
      </c>
      <c r="AH28" s="26"/>
      <c r="AR28" s="34">
        <f>SUM(AI29:AI31)</f>
        <v>0</v>
      </c>
      <c r="AS28" s="34">
        <f>SUM(AJ29:AJ31)</f>
        <v>0</v>
      </c>
      <c r="AT28" s="34">
        <f>SUM(AK29:AK31)</f>
        <v>0</v>
      </c>
    </row>
    <row r="29" spans="1:61" ht="12.75">
      <c r="A29" s="4" t="s">
        <v>19</v>
      </c>
      <c r="B29" s="4"/>
      <c r="C29" s="4" t="s">
        <v>388</v>
      </c>
      <c r="D29" s="71" t="s">
        <v>752</v>
      </c>
      <c r="E29" s="4" t="s">
        <v>1119</v>
      </c>
      <c r="F29" s="17">
        <v>45</v>
      </c>
      <c r="G29" s="148">
        <v>0</v>
      </c>
      <c r="H29" s="17">
        <f>F29*AN29</f>
        <v>0</v>
      </c>
      <c r="I29" s="17">
        <f>F29*AO29</f>
        <v>0</v>
      </c>
      <c r="J29" s="17">
        <f>F29*G29</f>
        <v>0</v>
      </c>
      <c r="K29" s="17">
        <v>0</v>
      </c>
      <c r="L29" s="17">
        <f>F29*K29</f>
        <v>0</v>
      </c>
      <c r="Y29" s="31">
        <f>IF(AP29="5",BI29,0)</f>
        <v>0</v>
      </c>
      <c r="AA29" s="31">
        <f>IF(AP29="1",BG29,0)</f>
        <v>0</v>
      </c>
      <c r="AB29" s="31">
        <f>IF(AP29="1",BH29,0)</f>
        <v>0</v>
      </c>
      <c r="AC29" s="31">
        <f>IF(AP29="7",BG29,0)</f>
        <v>0</v>
      </c>
      <c r="AD29" s="31">
        <f>IF(AP29="7",BH29,0)</f>
        <v>0</v>
      </c>
      <c r="AE29" s="31">
        <f>IF(AP29="2",BG29,0)</f>
        <v>0</v>
      </c>
      <c r="AF29" s="31">
        <f>IF(AP29="2",BH29,0)</f>
        <v>0</v>
      </c>
      <c r="AG29" s="31">
        <f>IF(AP29="0",BI29,0)</f>
        <v>0</v>
      </c>
      <c r="AH29" s="26"/>
      <c r="AI29" s="17">
        <f>IF(AM29=0,J29,0)</f>
        <v>0</v>
      </c>
      <c r="AJ29" s="17">
        <f>IF(AM29=15,J29,0)</f>
        <v>0</v>
      </c>
      <c r="AK29" s="17">
        <f>IF(AM29=21,J29,0)</f>
        <v>0</v>
      </c>
      <c r="AM29" s="31">
        <v>21</v>
      </c>
      <c r="AN29" s="31">
        <f>G29*0</f>
        <v>0</v>
      </c>
      <c r="AO29" s="31">
        <f>G29*(1-0)</f>
        <v>0</v>
      </c>
      <c r="AP29" s="27" t="s">
        <v>7</v>
      </c>
      <c r="AU29" s="31">
        <f>AV29+AW29</f>
        <v>0</v>
      </c>
      <c r="AV29" s="31">
        <f>F29*AN29</f>
        <v>0</v>
      </c>
      <c r="AW29" s="31">
        <f>F29*AO29</f>
        <v>0</v>
      </c>
      <c r="AX29" s="32" t="s">
        <v>1158</v>
      </c>
      <c r="AY29" s="32" t="s">
        <v>1200</v>
      </c>
      <c r="AZ29" s="26" t="s">
        <v>1215</v>
      </c>
      <c r="BB29" s="31">
        <f>AV29+AW29</f>
        <v>0</v>
      </c>
      <c r="BC29" s="31">
        <f>G29/(100-BD29)*100</f>
        <v>0</v>
      </c>
      <c r="BD29" s="31">
        <v>0</v>
      </c>
      <c r="BE29" s="31">
        <f>L29</f>
        <v>0</v>
      </c>
      <c r="BG29" s="17">
        <f>F29*AN29</f>
        <v>0</v>
      </c>
      <c r="BH29" s="17">
        <f>F29*AO29</f>
        <v>0</v>
      </c>
      <c r="BI29" s="17">
        <f>F29*G29</f>
        <v>0</v>
      </c>
    </row>
    <row r="30" spans="1:61" ht="12.75">
      <c r="A30" s="4" t="s">
        <v>20</v>
      </c>
      <c r="B30" s="4"/>
      <c r="C30" s="4" t="s">
        <v>389</v>
      </c>
      <c r="D30" s="71" t="s">
        <v>753</v>
      </c>
      <c r="E30" s="4" t="s">
        <v>1119</v>
      </c>
      <c r="F30" s="17">
        <v>30.8</v>
      </c>
      <c r="G30" s="148">
        <v>0</v>
      </c>
      <c r="H30" s="17">
        <f>F30*AN30</f>
        <v>0</v>
      </c>
      <c r="I30" s="17">
        <f>F30*AO30</f>
        <v>0</v>
      </c>
      <c r="J30" s="17">
        <f>F30*G30</f>
        <v>0</v>
      </c>
      <c r="K30" s="17">
        <v>1.67</v>
      </c>
      <c r="L30" s="17">
        <f>F30*K30</f>
        <v>51.436</v>
      </c>
      <c r="Y30" s="31">
        <f>IF(AP30="5",BI30,0)</f>
        <v>0</v>
      </c>
      <c r="AA30" s="31">
        <f>IF(AP30="1",BG30,0)</f>
        <v>0</v>
      </c>
      <c r="AB30" s="31">
        <f>IF(AP30="1",BH30,0)</f>
        <v>0</v>
      </c>
      <c r="AC30" s="31">
        <f>IF(AP30="7",BG30,0)</f>
        <v>0</v>
      </c>
      <c r="AD30" s="31">
        <f>IF(AP30="7",BH30,0)</f>
        <v>0</v>
      </c>
      <c r="AE30" s="31">
        <f>IF(AP30="2",BG30,0)</f>
        <v>0</v>
      </c>
      <c r="AF30" s="31">
        <f>IF(AP30="2",BH30,0)</f>
        <v>0</v>
      </c>
      <c r="AG30" s="31">
        <f>IF(AP30="0",BI30,0)</f>
        <v>0</v>
      </c>
      <c r="AH30" s="26"/>
      <c r="AI30" s="17">
        <f>IF(AM30=0,J30,0)</f>
        <v>0</v>
      </c>
      <c r="AJ30" s="17">
        <f>IF(AM30=15,J30,0)</f>
        <v>0</v>
      </c>
      <c r="AK30" s="17">
        <f>IF(AM30=21,J30,0)</f>
        <v>0</v>
      </c>
      <c r="AM30" s="31">
        <v>21</v>
      </c>
      <c r="AN30" s="31">
        <f>G30*0.414347826086957</f>
        <v>0</v>
      </c>
      <c r="AO30" s="31">
        <f>G30*(1-0.414347826086957)</f>
        <v>0</v>
      </c>
      <c r="AP30" s="27" t="s">
        <v>7</v>
      </c>
      <c r="AU30" s="31">
        <f>AV30+AW30</f>
        <v>0</v>
      </c>
      <c r="AV30" s="31">
        <f>F30*AN30</f>
        <v>0</v>
      </c>
      <c r="AW30" s="31">
        <f>F30*AO30</f>
        <v>0</v>
      </c>
      <c r="AX30" s="32" t="s">
        <v>1158</v>
      </c>
      <c r="AY30" s="32" t="s">
        <v>1200</v>
      </c>
      <c r="AZ30" s="26" t="s">
        <v>1215</v>
      </c>
      <c r="BB30" s="31">
        <f>AV30+AW30</f>
        <v>0</v>
      </c>
      <c r="BC30" s="31">
        <f>G30/(100-BD30)*100</f>
        <v>0</v>
      </c>
      <c r="BD30" s="31">
        <v>0</v>
      </c>
      <c r="BE30" s="31">
        <f>L30</f>
        <v>51.436</v>
      </c>
      <c r="BG30" s="17">
        <f>F30*AN30</f>
        <v>0</v>
      </c>
      <c r="BH30" s="17">
        <f>F30*AO30</f>
        <v>0</v>
      </c>
      <c r="BI30" s="17">
        <f>F30*G30</f>
        <v>0</v>
      </c>
    </row>
    <row r="31" spans="1:61" ht="13.5" thickBot="1">
      <c r="A31" s="4" t="s">
        <v>21</v>
      </c>
      <c r="B31" s="4"/>
      <c r="C31" s="4" t="s">
        <v>390</v>
      </c>
      <c r="D31" s="71" t="s">
        <v>754</v>
      </c>
      <c r="E31" s="4" t="s">
        <v>1119</v>
      </c>
      <c r="F31" s="17">
        <v>49.2</v>
      </c>
      <c r="G31" s="148">
        <v>0</v>
      </c>
      <c r="H31" s="17">
        <f>F31*AN31</f>
        <v>0</v>
      </c>
      <c r="I31" s="17">
        <f>F31*AO31</f>
        <v>0</v>
      </c>
      <c r="J31" s="17">
        <f>F31*G31</f>
        <v>0</v>
      </c>
      <c r="K31" s="17">
        <v>0</v>
      </c>
      <c r="L31" s="17">
        <f>F31*K31</f>
        <v>0</v>
      </c>
      <c r="Y31" s="31">
        <f>IF(AP31="5",BI31,0)</f>
        <v>0</v>
      </c>
      <c r="AA31" s="31">
        <f>IF(AP31="1",BG31,0)</f>
        <v>0</v>
      </c>
      <c r="AB31" s="31">
        <f>IF(AP31="1",BH31,0)</f>
        <v>0</v>
      </c>
      <c r="AC31" s="31">
        <f>IF(AP31="7",BG31,0)</f>
        <v>0</v>
      </c>
      <c r="AD31" s="31">
        <f>IF(AP31="7",BH31,0)</f>
        <v>0</v>
      </c>
      <c r="AE31" s="31">
        <f>IF(AP31="2",BG31,0)</f>
        <v>0</v>
      </c>
      <c r="AF31" s="31">
        <f>IF(AP31="2",BH31,0)</f>
        <v>0</v>
      </c>
      <c r="AG31" s="31">
        <f>IF(AP31="0",BI31,0)</f>
        <v>0</v>
      </c>
      <c r="AH31" s="26"/>
      <c r="AI31" s="17">
        <f>IF(AM31=0,J31,0)</f>
        <v>0</v>
      </c>
      <c r="AJ31" s="17">
        <f>IF(AM31=15,J31,0)</f>
        <v>0</v>
      </c>
      <c r="AK31" s="17">
        <f>IF(AM31=21,J31,0)</f>
        <v>0</v>
      </c>
      <c r="AM31" s="31">
        <v>21</v>
      </c>
      <c r="AN31" s="31">
        <f>G31*0</f>
        <v>0</v>
      </c>
      <c r="AO31" s="31">
        <f>G31*(1-0)</f>
        <v>0</v>
      </c>
      <c r="AP31" s="27" t="s">
        <v>7</v>
      </c>
      <c r="AU31" s="31">
        <f>AV31+AW31</f>
        <v>0</v>
      </c>
      <c r="AV31" s="31">
        <f>F31*AN31</f>
        <v>0</v>
      </c>
      <c r="AW31" s="31">
        <f>F31*AO31</f>
        <v>0</v>
      </c>
      <c r="AX31" s="32" t="s">
        <v>1158</v>
      </c>
      <c r="AY31" s="32" t="s">
        <v>1200</v>
      </c>
      <c r="AZ31" s="26" t="s">
        <v>1215</v>
      </c>
      <c r="BB31" s="31">
        <f>AV31+AW31</f>
        <v>0</v>
      </c>
      <c r="BC31" s="31">
        <f>G31/(100-BD31)*100</f>
        <v>0</v>
      </c>
      <c r="BD31" s="31">
        <v>0</v>
      </c>
      <c r="BE31" s="31">
        <f>L31</f>
        <v>0</v>
      </c>
      <c r="BG31" s="17">
        <f>F31*AN31</f>
        <v>0</v>
      </c>
      <c r="BH31" s="17">
        <f>F31*AO31</f>
        <v>0</v>
      </c>
      <c r="BI31" s="17">
        <f>F31*G31</f>
        <v>0</v>
      </c>
    </row>
    <row r="32" spans="1:46" ht="12.75">
      <c r="A32" s="6"/>
      <c r="B32" s="13"/>
      <c r="C32" s="13" t="s">
        <v>24</v>
      </c>
      <c r="D32" s="73" t="s">
        <v>755</v>
      </c>
      <c r="E32" s="6" t="s">
        <v>6</v>
      </c>
      <c r="F32" s="6" t="s">
        <v>6</v>
      </c>
      <c r="G32" s="150" t="s">
        <v>6</v>
      </c>
      <c r="H32" s="34">
        <f>SUM(H33:H33)</f>
        <v>0</v>
      </c>
      <c r="I32" s="34">
        <f>SUM(I33:I33)</f>
        <v>0</v>
      </c>
      <c r="J32" s="34">
        <f>SUM(J33:J33)</f>
        <v>0</v>
      </c>
      <c r="K32" s="26"/>
      <c r="L32" s="34">
        <f>SUM(L33:L33)</f>
        <v>0</v>
      </c>
      <c r="AH32" s="26"/>
      <c r="AR32" s="34">
        <f>SUM(AI33:AI33)</f>
        <v>0</v>
      </c>
      <c r="AS32" s="34">
        <f>SUM(AJ33:AJ33)</f>
        <v>0</v>
      </c>
      <c r="AT32" s="34">
        <f>SUM(AK33:AK33)</f>
        <v>0</v>
      </c>
    </row>
    <row r="33" spans="1:61" ht="13.5" thickBot="1">
      <c r="A33" s="4" t="s">
        <v>22</v>
      </c>
      <c r="B33" s="4"/>
      <c r="C33" s="4" t="s">
        <v>391</v>
      </c>
      <c r="D33" s="71" t="s">
        <v>756</v>
      </c>
      <c r="E33" s="4" t="s">
        <v>1120</v>
      </c>
      <c r="F33" s="17">
        <v>60</v>
      </c>
      <c r="G33" s="148">
        <v>0</v>
      </c>
      <c r="H33" s="17">
        <f>F33*AN33</f>
        <v>0</v>
      </c>
      <c r="I33" s="17">
        <f>F33*AO33</f>
        <v>0</v>
      </c>
      <c r="J33" s="17">
        <f>F33*G33</f>
        <v>0</v>
      </c>
      <c r="K33" s="17">
        <v>0</v>
      </c>
      <c r="L33" s="17">
        <f>F33*K33</f>
        <v>0</v>
      </c>
      <c r="Y33" s="31">
        <f>IF(AP33="5",BI33,0)</f>
        <v>0</v>
      </c>
      <c r="AA33" s="31">
        <f>IF(AP33="1",BG33,0)</f>
        <v>0</v>
      </c>
      <c r="AB33" s="31">
        <f>IF(AP33="1",BH33,0)</f>
        <v>0</v>
      </c>
      <c r="AC33" s="31">
        <f>IF(AP33="7",BG33,0)</f>
        <v>0</v>
      </c>
      <c r="AD33" s="31">
        <f>IF(AP33="7",BH33,0)</f>
        <v>0</v>
      </c>
      <c r="AE33" s="31">
        <f>IF(AP33="2",BG33,0)</f>
        <v>0</v>
      </c>
      <c r="AF33" s="31">
        <f>IF(AP33="2",BH33,0)</f>
        <v>0</v>
      </c>
      <c r="AG33" s="31">
        <f>IF(AP33="0",BI33,0)</f>
        <v>0</v>
      </c>
      <c r="AH33" s="26"/>
      <c r="AI33" s="17">
        <f>IF(AM33=0,J33,0)</f>
        <v>0</v>
      </c>
      <c r="AJ33" s="17">
        <f>IF(AM33=15,J33,0)</f>
        <v>0</v>
      </c>
      <c r="AK33" s="17">
        <f>IF(AM33=21,J33,0)</f>
        <v>0</v>
      </c>
      <c r="AM33" s="31">
        <v>21</v>
      </c>
      <c r="AN33" s="31">
        <f>G33*0.00178125</f>
        <v>0</v>
      </c>
      <c r="AO33" s="31">
        <f>G33*(1-0.00178125)</f>
        <v>0</v>
      </c>
      <c r="AP33" s="27" t="s">
        <v>7</v>
      </c>
      <c r="AU33" s="31">
        <f>AV33+AW33</f>
        <v>0</v>
      </c>
      <c r="AV33" s="31">
        <f>F33*AN33</f>
        <v>0</v>
      </c>
      <c r="AW33" s="31">
        <f>F33*AO33</f>
        <v>0</v>
      </c>
      <c r="AX33" s="32" t="s">
        <v>1159</v>
      </c>
      <c r="AY33" s="32" t="s">
        <v>1200</v>
      </c>
      <c r="AZ33" s="26" t="s">
        <v>1215</v>
      </c>
      <c r="BB33" s="31">
        <f>AV33+AW33</f>
        <v>0</v>
      </c>
      <c r="BC33" s="31">
        <f>G33/(100-BD33)*100</f>
        <v>0</v>
      </c>
      <c r="BD33" s="31">
        <v>0</v>
      </c>
      <c r="BE33" s="31">
        <f>L33</f>
        <v>0</v>
      </c>
      <c r="BG33" s="17">
        <f>F33*AN33</f>
        <v>0</v>
      </c>
      <c r="BH33" s="17">
        <f>F33*AO33</f>
        <v>0</v>
      </c>
      <c r="BI33" s="17">
        <f>F33*G33</f>
        <v>0</v>
      </c>
    </row>
    <row r="34" spans="1:46" ht="12.75">
      <c r="A34" s="6"/>
      <c r="B34" s="13"/>
      <c r="C34" s="13" t="s">
        <v>33</v>
      </c>
      <c r="D34" s="73" t="s">
        <v>757</v>
      </c>
      <c r="E34" s="6" t="s">
        <v>6</v>
      </c>
      <c r="F34" s="6" t="s">
        <v>6</v>
      </c>
      <c r="G34" s="150" t="s">
        <v>6</v>
      </c>
      <c r="H34" s="34">
        <f>SUM(H35:H42)</f>
        <v>0</v>
      </c>
      <c r="I34" s="34">
        <f>SUM(I35:I42)</f>
        <v>0</v>
      </c>
      <c r="J34" s="34">
        <f>SUM(J35:J42)</f>
        <v>0</v>
      </c>
      <c r="K34" s="26"/>
      <c r="L34" s="34">
        <f>SUM(L35:L42)</f>
        <v>390.41798272</v>
      </c>
      <c r="AH34" s="26"/>
      <c r="AR34" s="34">
        <f>SUM(AI35:AI42)</f>
        <v>0</v>
      </c>
      <c r="AS34" s="34">
        <f>SUM(AJ35:AJ42)</f>
        <v>0</v>
      </c>
      <c r="AT34" s="34">
        <f>SUM(AK35:AK42)</f>
        <v>0</v>
      </c>
    </row>
    <row r="35" spans="1:61" ht="12.75">
      <c r="A35" s="4" t="s">
        <v>23</v>
      </c>
      <c r="B35" s="4"/>
      <c r="C35" s="4" t="s">
        <v>392</v>
      </c>
      <c r="D35" s="71" t="s">
        <v>758</v>
      </c>
      <c r="E35" s="4" t="s">
        <v>1119</v>
      </c>
      <c r="F35" s="17">
        <v>31.33</v>
      </c>
      <c r="G35" s="148">
        <v>0</v>
      </c>
      <c r="H35" s="17">
        <f aca="true" t="shared" si="26" ref="H35:H42">F35*AN35</f>
        <v>0</v>
      </c>
      <c r="I35" s="17">
        <f aca="true" t="shared" si="27" ref="I35:I42">F35*AO35</f>
        <v>0</v>
      </c>
      <c r="J35" s="17">
        <f aca="true" t="shared" si="28" ref="J35:J42">F35*G35</f>
        <v>0</v>
      </c>
      <c r="K35" s="17">
        <v>2.16</v>
      </c>
      <c r="L35" s="17">
        <f aca="true" t="shared" si="29" ref="L35:L42">F35*K35</f>
        <v>67.6728</v>
      </c>
      <c r="Y35" s="31">
        <f aca="true" t="shared" si="30" ref="Y35:Y42">IF(AP35="5",BI35,0)</f>
        <v>0</v>
      </c>
      <c r="AA35" s="31">
        <f aca="true" t="shared" si="31" ref="AA35:AA42">IF(AP35="1",BG35,0)</f>
        <v>0</v>
      </c>
      <c r="AB35" s="31">
        <f aca="true" t="shared" si="32" ref="AB35:AB42">IF(AP35="1",BH35,0)</f>
        <v>0</v>
      </c>
      <c r="AC35" s="31">
        <f aca="true" t="shared" si="33" ref="AC35:AC42">IF(AP35="7",BG35,0)</f>
        <v>0</v>
      </c>
      <c r="AD35" s="31">
        <f aca="true" t="shared" si="34" ref="AD35:AD42">IF(AP35="7",BH35,0)</f>
        <v>0</v>
      </c>
      <c r="AE35" s="31">
        <f aca="true" t="shared" si="35" ref="AE35:AE42">IF(AP35="2",BG35,0)</f>
        <v>0</v>
      </c>
      <c r="AF35" s="31">
        <f aca="true" t="shared" si="36" ref="AF35:AF42">IF(AP35="2",BH35,0)</f>
        <v>0</v>
      </c>
      <c r="AG35" s="31">
        <f aca="true" t="shared" si="37" ref="AG35:AG42">IF(AP35="0",BI35,0)</f>
        <v>0</v>
      </c>
      <c r="AH35" s="26"/>
      <c r="AI35" s="17">
        <f aca="true" t="shared" si="38" ref="AI35:AI42">IF(AM35=0,J35,0)</f>
        <v>0</v>
      </c>
      <c r="AJ35" s="17">
        <f aca="true" t="shared" si="39" ref="AJ35:AJ42">IF(AM35=15,J35,0)</f>
        <v>0</v>
      </c>
      <c r="AK35" s="17">
        <f aca="true" t="shared" si="40" ref="AK35:AK42">IF(AM35=21,J35,0)</f>
        <v>0</v>
      </c>
      <c r="AM35" s="31">
        <v>21</v>
      </c>
      <c r="AN35" s="31">
        <f>G35*0.663636363636364</f>
        <v>0</v>
      </c>
      <c r="AO35" s="31">
        <f>G35*(1-0.663636363636364)</f>
        <v>0</v>
      </c>
      <c r="AP35" s="27" t="s">
        <v>7</v>
      </c>
      <c r="AU35" s="31">
        <f aca="true" t="shared" si="41" ref="AU35:AU42">AV35+AW35</f>
        <v>0</v>
      </c>
      <c r="AV35" s="31">
        <f aca="true" t="shared" si="42" ref="AV35:AV42">F35*AN35</f>
        <v>0</v>
      </c>
      <c r="AW35" s="31">
        <f aca="true" t="shared" si="43" ref="AW35:AW42">F35*AO35</f>
        <v>0</v>
      </c>
      <c r="AX35" s="32" t="s">
        <v>1160</v>
      </c>
      <c r="AY35" s="32" t="s">
        <v>1201</v>
      </c>
      <c r="AZ35" s="26" t="s">
        <v>1215</v>
      </c>
      <c r="BB35" s="31">
        <f aca="true" t="shared" si="44" ref="BB35:BB42">AV35+AW35</f>
        <v>0</v>
      </c>
      <c r="BC35" s="31">
        <f aca="true" t="shared" si="45" ref="BC35:BC42">G35/(100-BD35)*100</f>
        <v>0</v>
      </c>
      <c r="BD35" s="31">
        <v>0</v>
      </c>
      <c r="BE35" s="31">
        <f aca="true" t="shared" si="46" ref="BE35:BE42">L35</f>
        <v>67.6728</v>
      </c>
      <c r="BG35" s="17">
        <f aca="true" t="shared" si="47" ref="BG35:BG42">F35*AN35</f>
        <v>0</v>
      </c>
      <c r="BH35" s="17">
        <f aca="true" t="shared" si="48" ref="BH35:BH42">F35*AO35</f>
        <v>0</v>
      </c>
      <c r="BI35" s="17">
        <f aca="true" t="shared" si="49" ref="BI35:BI42">F35*G35</f>
        <v>0</v>
      </c>
    </row>
    <row r="36" spans="1:61" ht="12.75">
      <c r="A36" s="4" t="s">
        <v>24</v>
      </c>
      <c r="B36" s="4"/>
      <c r="C36" s="4" t="s">
        <v>393</v>
      </c>
      <c r="D36" s="71" t="s">
        <v>759</v>
      </c>
      <c r="E36" s="4" t="s">
        <v>1119</v>
      </c>
      <c r="F36" s="17">
        <v>62.182</v>
      </c>
      <c r="G36" s="148">
        <v>0</v>
      </c>
      <c r="H36" s="17">
        <f t="shared" si="26"/>
        <v>0</v>
      </c>
      <c r="I36" s="17">
        <f t="shared" si="27"/>
        <v>0</v>
      </c>
      <c r="J36" s="17">
        <f t="shared" si="28"/>
        <v>0</v>
      </c>
      <c r="K36" s="17">
        <v>2.525</v>
      </c>
      <c r="L36" s="17">
        <f t="shared" si="29"/>
        <v>157.00955</v>
      </c>
      <c r="Y36" s="31">
        <f t="shared" si="30"/>
        <v>0</v>
      </c>
      <c r="AA36" s="31">
        <f t="shared" si="31"/>
        <v>0</v>
      </c>
      <c r="AB36" s="31">
        <f t="shared" si="32"/>
        <v>0</v>
      </c>
      <c r="AC36" s="31">
        <f t="shared" si="33"/>
        <v>0</v>
      </c>
      <c r="AD36" s="31">
        <f t="shared" si="34"/>
        <v>0</v>
      </c>
      <c r="AE36" s="31">
        <f t="shared" si="35"/>
        <v>0</v>
      </c>
      <c r="AF36" s="31">
        <f t="shared" si="36"/>
        <v>0</v>
      </c>
      <c r="AG36" s="31">
        <f t="shared" si="37"/>
        <v>0</v>
      </c>
      <c r="AH36" s="26"/>
      <c r="AI36" s="17">
        <f t="shared" si="38"/>
        <v>0</v>
      </c>
      <c r="AJ36" s="17">
        <f t="shared" si="39"/>
        <v>0</v>
      </c>
      <c r="AK36" s="17">
        <f t="shared" si="40"/>
        <v>0</v>
      </c>
      <c r="AM36" s="31">
        <v>21</v>
      </c>
      <c r="AN36" s="31">
        <f>G36*0.91415332197615</f>
        <v>0</v>
      </c>
      <c r="AO36" s="31">
        <f>G36*(1-0.91415332197615)</f>
        <v>0</v>
      </c>
      <c r="AP36" s="27" t="s">
        <v>7</v>
      </c>
      <c r="AU36" s="31">
        <f t="shared" si="41"/>
        <v>0</v>
      </c>
      <c r="AV36" s="31">
        <f t="shared" si="42"/>
        <v>0</v>
      </c>
      <c r="AW36" s="31">
        <f t="shared" si="43"/>
        <v>0</v>
      </c>
      <c r="AX36" s="32" t="s">
        <v>1160</v>
      </c>
      <c r="AY36" s="32" t="s">
        <v>1201</v>
      </c>
      <c r="AZ36" s="26" t="s">
        <v>1215</v>
      </c>
      <c r="BB36" s="31">
        <f t="shared" si="44"/>
        <v>0</v>
      </c>
      <c r="BC36" s="31">
        <f t="shared" si="45"/>
        <v>0</v>
      </c>
      <c r="BD36" s="31">
        <v>0</v>
      </c>
      <c r="BE36" s="31">
        <f t="shared" si="46"/>
        <v>157.00955</v>
      </c>
      <c r="BG36" s="17">
        <f t="shared" si="47"/>
        <v>0</v>
      </c>
      <c r="BH36" s="17">
        <f t="shared" si="48"/>
        <v>0</v>
      </c>
      <c r="BI36" s="17">
        <f t="shared" si="49"/>
        <v>0</v>
      </c>
    </row>
    <row r="37" spans="1:61" ht="12.75">
      <c r="A37" s="4" t="s">
        <v>25</v>
      </c>
      <c r="B37" s="4"/>
      <c r="C37" s="4" t="s">
        <v>394</v>
      </c>
      <c r="D37" s="71" t="s">
        <v>760</v>
      </c>
      <c r="E37" s="4" t="s">
        <v>1122</v>
      </c>
      <c r="F37" s="17">
        <v>2.739</v>
      </c>
      <c r="G37" s="148">
        <v>0</v>
      </c>
      <c r="H37" s="17">
        <f t="shared" si="26"/>
        <v>0</v>
      </c>
      <c r="I37" s="17">
        <f t="shared" si="27"/>
        <v>0</v>
      </c>
      <c r="J37" s="17">
        <f t="shared" si="28"/>
        <v>0</v>
      </c>
      <c r="K37" s="17">
        <v>1.04548</v>
      </c>
      <c r="L37" s="17">
        <f t="shared" si="29"/>
        <v>2.8635697199999997</v>
      </c>
      <c r="Y37" s="31">
        <f t="shared" si="30"/>
        <v>0</v>
      </c>
      <c r="AA37" s="31">
        <f t="shared" si="31"/>
        <v>0</v>
      </c>
      <c r="AB37" s="31">
        <f t="shared" si="32"/>
        <v>0</v>
      </c>
      <c r="AC37" s="31">
        <f t="shared" si="33"/>
        <v>0</v>
      </c>
      <c r="AD37" s="31">
        <f t="shared" si="34"/>
        <v>0</v>
      </c>
      <c r="AE37" s="31">
        <f t="shared" si="35"/>
        <v>0</v>
      </c>
      <c r="AF37" s="31">
        <f t="shared" si="36"/>
        <v>0</v>
      </c>
      <c r="AG37" s="31">
        <f t="shared" si="37"/>
        <v>0</v>
      </c>
      <c r="AH37" s="26"/>
      <c r="AI37" s="17">
        <f t="shared" si="38"/>
        <v>0</v>
      </c>
      <c r="AJ37" s="17">
        <f t="shared" si="39"/>
        <v>0</v>
      </c>
      <c r="AK37" s="17">
        <f t="shared" si="40"/>
        <v>0</v>
      </c>
      <c r="AM37" s="31">
        <v>21</v>
      </c>
      <c r="AN37" s="31">
        <f>G37*0.814780532598714</f>
        <v>0</v>
      </c>
      <c r="AO37" s="31">
        <f>G37*(1-0.814780532598714)</f>
        <v>0</v>
      </c>
      <c r="AP37" s="27" t="s">
        <v>7</v>
      </c>
      <c r="AU37" s="31">
        <f t="shared" si="41"/>
        <v>0</v>
      </c>
      <c r="AV37" s="31">
        <f t="shared" si="42"/>
        <v>0</v>
      </c>
      <c r="AW37" s="31">
        <f t="shared" si="43"/>
        <v>0</v>
      </c>
      <c r="AX37" s="32" t="s">
        <v>1160</v>
      </c>
      <c r="AY37" s="32" t="s">
        <v>1201</v>
      </c>
      <c r="AZ37" s="26" t="s">
        <v>1215</v>
      </c>
      <c r="BB37" s="31">
        <f t="shared" si="44"/>
        <v>0</v>
      </c>
      <c r="BC37" s="31">
        <f t="shared" si="45"/>
        <v>0</v>
      </c>
      <c r="BD37" s="31">
        <v>0</v>
      </c>
      <c r="BE37" s="31">
        <f t="shared" si="46"/>
        <v>2.8635697199999997</v>
      </c>
      <c r="BG37" s="17">
        <f t="shared" si="47"/>
        <v>0</v>
      </c>
      <c r="BH37" s="17">
        <f t="shared" si="48"/>
        <v>0</v>
      </c>
      <c r="BI37" s="17">
        <f t="shared" si="49"/>
        <v>0</v>
      </c>
    </row>
    <row r="38" spans="1:61" ht="12.75">
      <c r="A38" s="4" t="s">
        <v>26</v>
      </c>
      <c r="B38" s="4"/>
      <c r="C38" s="4" t="s">
        <v>395</v>
      </c>
      <c r="D38" s="71" t="s">
        <v>761</v>
      </c>
      <c r="E38" s="4" t="s">
        <v>1120</v>
      </c>
      <c r="F38" s="17">
        <v>6</v>
      </c>
      <c r="G38" s="148">
        <v>0</v>
      </c>
      <c r="H38" s="17">
        <f t="shared" si="26"/>
        <v>0</v>
      </c>
      <c r="I38" s="17">
        <f t="shared" si="27"/>
        <v>0</v>
      </c>
      <c r="J38" s="17">
        <f t="shared" si="28"/>
        <v>0</v>
      </c>
      <c r="K38" s="17">
        <v>0.00309</v>
      </c>
      <c r="L38" s="17">
        <f t="shared" si="29"/>
        <v>0.01854</v>
      </c>
      <c r="Y38" s="31">
        <f t="shared" si="30"/>
        <v>0</v>
      </c>
      <c r="AA38" s="31">
        <f t="shared" si="31"/>
        <v>0</v>
      </c>
      <c r="AB38" s="31">
        <f t="shared" si="32"/>
        <v>0</v>
      </c>
      <c r="AC38" s="31">
        <f t="shared" si="33"/>
        <v>0</v>
      </c>
      <c r="AD38" s="31">
        <f t="shared" si="34"/>
        <v>0</v>
      </c>
      <c r="AE38" s="31">
        <f t="shared" si="35"/>
        <v>0</v>
      </c>
      <c r="AF38" s="31">
        <f t="shared" si="36"/>
        <v>0</v>
      </c>
      <c r="AG38" s="31">
        <f t="shared" si="37"/>
        <v>0</v>
      </c>
      <c r="AH38" s="26"/>
      <c r="AI38" s="17">
        <f t="shared" si="38"/>
        <v>0</v>
      </c>
      <c r="AJ38" s="17">
        <f t="shared" si="39"/>
        <v>0</v>
      </c>
      <c r="AK38" s="17">
        <f t="shared" si="40"/>
        <v>0</v>
      </c>
      <c r="AM38" s="31">
        <v>21</v>
      </c>
      <c r="AN38" s="31">
        <f>G38*0.153682092555332</f>
        <v>0</v>
      </c>
      <c r="AO38" s="31">
        <f>G38*(1-0.153682092555332)</f>
        <v>0</v>
      </c>
      <c r="AP38" s="27" t="s">
        <v>7</v>
      </c>
      <c r="AU38" s="31">
        <f t="shared" si="41"/>
        <v>0</v>
      </c>
      <c r="AV38" s="31">
        <f t="shared" si="42"/>
        <v>0</v>
      </c>
      <c r="AW38" s="31">
        <f t="shared" si="43"/>
        <v>0</v>
      </c>
      <c r="AX38" s="32" t="s">
        <v>1160</v>
      </c>
      <c r="AY38" s="32" t="s">
        <v>1201</v>
      </c>
      <c r="AZ38" s="26" t="s">
        <v>1215</v>
      </c>
      <c r="BB38" s="31">
        <f t="shared" si="44"/>
        <v>0</v>
      </c>
      <c r="BC38" s="31">
        <f t="shared" si="45"/>
        <v>0</v>
      </c>
      <c r="BD38" s="31">
        <v>0</v>
      </c>
      <c r="BE38" s="31">
        <f t="shared" si="46"/>
        <v>0.01854</v>
      </c>
      <c r="BG38" s="17">
        <f t="shared" si="47"/>
        <v>0</v>
      </c>
      <c r="BH38" s="17">
        <f t="shared" si="48"/>
        <v>0</v>
      </c>
      <c r="BI38" s="17">
        <f t="shared" si="49"/>
        <v>0</v>
      </c>
    </row>
    <row r="39" spans="1:61" ht="12.75">
      <c r="A39" s="4" t="s">
        <v>27</v>
      </c>
      <c r="B39" s="4"/>
      <c r="C39" s="4" t="s">
        <v>396</v>
      </c>
      <c r="D39" s="71" t="s">
        <v>762</v>
      </c>
      <c r="E39" s="4" t="s">
        <v>1119</v>
      </c>
      <c r="F39" s="17">
        <v>58.319</v>
      </c>
      <c r="G39" s="148">
        <v>0</v>
      </c>
      <c r="H39" s="17">
        <f t="shared" si="26"/>
        <v>0</v>
      </c>
      <c r="I39" s="17">
        <f t="shared" si="27"/>
        <v>0</v>
      </c>
      <c r="J39" s="17">
        <f t="shared" si="28"/>
        <v>0</v>
      </c>
      <c r="K39" s="17">
        <v>2.525</v>
      </c>
      <c r="L39" s="17">
        <f t="shared" si="29"/>
        <v>147.255475</v>
      </c>
      <c r="Y39" s="31">
        <f t="shared" si="30"/>
        <v>0</v>
      </c>
      <c r="AA39" s="31">
        <f t="shared" si="31"/>
        <v>0</v>
      </c>
      <c r="AB39" s="31">
        <f t="shared" si="32"/>
        <v>0</v>
      </c>
      <c r="AC39" s="31">
        <f t="shared" si="33"/>
        <v>0</v>
      </c>
      <c r="AD39" s="31">
        <f t="shared" si="34"/>
        <v>0</v>
      </c>
      <c r="AE39" s="31">
        <f t="shared" si="35"/>
        <v>0</v>
      </c>
      <c r="AF39" s="31">
        <f t="shared" si="36"/>
        <v>0</v>
      </c>
      <c r="AG39" s="31">
        <f t="shared" si="37"/>
        <v>0</v>
      </c>
      <c r="AH39" s="26"/>
      <c r="AI39" s="17">
        <f t="shared" si="38"/>
        <v>0</v>
      </c>
      <c r="AJ39" s="17">
        <f t="shared" si="39"/>
        <v>0</v>
      </c>
      <c r="AK39" s="17">
        <f t="shared" si="40"/>
        <v>0</v>
      </c>
      <c r="AM39" s="31">
        <v>21</v>
      </c>
      <c r="AN39" s="31">
        <f>G39*0.914153295272486</f>
        <v>0</v>
      </c>
      <c r="AO39" s="31">
        <f>G39*(1-0.914153295272486)</f>
        <v>0</v>
      </c>
      <c r="AP39" s="27" t="s">
        <v>7</v>
      </c>
      <c r="AU39" s="31">
        <f t="shared" si="41"/>
        <v>0</v>
      </c>
      <c r="AV39" s="31">
        <f t="shared" si="42"/>
        <v>0</v>
      </c>
      <c r="AW39" s="31">
        <f t="shared" si="43"/>
        <v>0</v>
      </c>
      <c r="AX39" s="32" t="s">
        <v>1160</v>
      </c>
      <c r="AY39" s="32" t="s">
        <v>1201</v>
      </c>
      <c r="AZ39" s="26" t="s">
        <v>1215</v>
      </c>
      <c r="BB39" s="31">
        <f t="shared" si="44"/>
        <v>0</v>
      </c>
      <c r="BC39" s="31">
        <f t="shared" si="45"/>
        <v>0</v>
      </c>
      <c r="BD39" s="31">
        <v>0</v>
      </c>
      <c r="BE39" s="31">
        <f t="shared" si="46"/>
        <v>147.255475</v>
      </c>
      <c r="BG39" s="17">
        <f t="shared" si="47"/>
        <v>0</v>
      </c>
      <c r="BH39" s="17">
        <f t="shared" si="48"/>
        <v>0</v>
      </c>
      <c r="BI39" s="17">
        <f t="shared" si="49"/>
        <v>0</v>
      </c>
    </row>
    <row r="40" spans="1:61" ht="12.75">
      <c r="A40" s="4" t="s">
        <v>28</v>
      </c>
      <c r="B40" s="4"/>
      <c r="C40" s="4" t="s">
        <v>397</v>
      </c>
      <c r="D40" s="71" t="s">
        <v>763</v>
      </c>
      <c r="E40" s="4" t="s">
        <v>1121</v>
      </c>
      <c r="F40" s="17">
        <v>224.33</v>
      </c>
      <c r="G40" s="148">
        <v>0</v>
      </c>
      <c r="H40" s="17">
        <f t="shared" si="26"/>
        <v>0</v>
      </c>
      <c r="I40" s="17">
        <f t="shared" si="27"/>
        <v>0</v>
      </c>
      <c r="J40" s="17">
        <f t="shared" si="28"/>
        <v>0</v>
      </c>
      <c r="K40" s="17">
        <v>0.03634</v>
      </c>
      <c r="L40" s="17">
        <f t="shared" si="29"/>
        <v>8.1521522</v>
      </c>
      <c r="Y40" s="31">
        <f t="shared" si="30"/>
        <v>0</v>
      </c>
      <c r="AA40" s="31">
        <f t="shared" si="31"/>
        <v>0</v>
      </c>
      <c r="AB40" s="31">
        <f t="shared" si="32"/>
        <v>0</v>
      </c>
      <c r="AC40" s="31">
        <f t="shared" si="33"/>
        <v>0</v>
      </c>
      <c r="AD40" s="31">
        <f t="shared" si="34"/>
        <v>0</v>
      </c>
      <c r="AE40" s="31">
        <f t="shared" si="35"/>
        <v>0</v>
      </c>
      <c r="AF40" s="31">
        <f t="shared" si="36"/>
        <v>0</v>
      </c>
      <c r="AG40" s="31">
        <f t="shared" si="37"/>
        <v>0</v>
      </c>
      <c r="AH40" s="26"/>
      <c r="AI40" s="17">
        <f t="shared" si="38"/>
        <v>0</v>
      </c>
      <c r="AJ40" s="17">
        <f t="shared" si="39"/>
        <v>0</v>
      </c>
      <c r="AK40" s="17">
        <f t="shared" si="40"/>
        <v>0</v>
      </c>
      <c r="AM40" s="31">
        <v>21</v>
      </c>
      <c r="AN40" s="31">
        <f>G40*0.666399253731343</f>
        <v>0</v>
      </c>
      <c r="AO40" s="31">
        <f>G40*(1-0.666399253731343)</f>
        <v>0</v>
      </c>
      <c r="AP40" s="27" t="s">
        <v>7</v>
      </c>
      <c r="AU40" s="31">
        <f t="shared" si="41"/>
        <v>0</v>
      </c>
      <c r="AV40" s="31">
        <f t="shared" si="42"/>
        <v>0</v>
      </c>
      <c r="AW40" s="31">
        <f t="shared" si="43"/>
        <v>0</v>
      </c>
      <c r="AX40" s="32" t="s">
        <v>1160</v>
      </c>
      <c r="AY40" s="32" t="s">
        <v>1201</v>
      </c>
      <c r="AZ40" s="26" t="s">
        <v>1215</v>
      </c>
      <c r="BB40" s="31">
        <f t="shared" si="44"/>
        <v>0</v>
      </c>
      <c r="BC40" s="31">
        <f t="shared" si="45"/>
        <v>0</v>
      </c>
      <c r="BD40" s="31">
        <v>0</v>
      </c>
      <c r="BE40" s="31">
        <f t="shared" si="46"/>
        <v>8.1521522</v>
      </c>
      <c r="BG40" s="17">
        <f t="shared" si="47"/>
        <v>0</v>
      </c>
      <c r="BH40" s="17">
        <f t="shared" si="48"/>
        <v>0</v>
      </c>
      <c r="BI40" s="17">
        <f t="shared" si="49"/>
        <v>0</v>
      </c>
    </row>
    <row r="41" spans="1:61" ht="12.75">
      <c r="A41" s="4" t="s">
        <v>29</v>
      </c>
      <c r="B41" s="4"/>
      <c r="C41" s="4" t="s">
        <v>398</v>
      </c>
      <c r="D41" s="71" t="s">
        <v>764</v>
      </c>
      <c r="E41" s="4" t="s">
        <v>1121</v>
      </c>
      <c r="F41" s="17">
        <v>224.33</v>
      </c>
      <c r="G41" s="148">
        <v>0</v>
      </c>
      <c r="H41" s="17">
        <f t="shared" si="26"/>
        <v>0</v>
      </c>
      <c r="I41" s="17">
        <f t="shared" si="27"/>
        <v>0</v>
      </c>
      <c r="J41" s="17">
        <f t="shared" si="28"/>
        <v>0</v>
      </c>
      <c r="K41" s="17">
        <v>0</v>
      </c>
      <c r="L41" s="17">
        <f t="shared" si="29"/>
        <v>0</v>
      </c>
      <c r="Y41" s="31">
        <f t="shared" si="30"/>
        <v>0</v>
      </c>
      <c r="AA41" s="31">
        <f t="shared" si="31"/>
        <v>0</v>
      </c>
      <c r="AB41" s="31">
        <f t="shared" si="32"/>
        <v>0</v>
      </c>
      <c r="AC41" s="31">
        <f t="shared" si="33"/>
        <v>0</v>
      </c>
      <c r="AD41" s="31">
        <f t="shared" si="34"/>
        <v>0</v>
      </c>
      <c r="AE41" s="31">
        <f t="shared" si="35"/>
        <v>0</v>
      </c>
      <c r="AF41" s="31">
        <f t="shared" si="36"/>
        <v>0</v>
      </c>
      <c r="AG41" s="31">
        <f t="shared" si="37"/>
        <v>0</v>
      </c>
      <c r="AH41" s="26"/>
      <c r="AI41" s="17">
        <f t="shared" si="38"/>
        <v>0</v>
      </c>
      <c r="AJ41" s="17">
        <f t="shared" si="39"/>
        <v>0</v>
      </c>
      <c r="AK41" s="17">
        <f t="shared" si="40"/>
        <v>0</v>
      </c>
      <c r="AM41" s="31">
        <v>21</v>
      </c>
      <c r="AN41" s="31">
        <f>G41*0</f>
        <v>0</v>
      </c>
      <c r="AO41" s="31">
        <f>G41*(1-0)</f>
        <v>0</v>
      </c>
      <c r="AP41" s="27" t="s">
        <v>7</v>
      </c>
      <c r="AU41" s="31">
        <f t="shared" si="41"/>
        <v>0</v>
      </c>
      <c r="AV41" s="31">
        <f t="shared" si="42"/>
        <v>0</v>
      </c>
      <c r="AW41" s="31">
        <f t="shared" si="43"/>
        <v>0</v>
      </c>
      <c r="AX41" s="32" t="s">
        <v>1160</v>
      </c>
      <c r="AY41" s="32" t="s">
        <v>1201</v>
      </c>
      <c r="AZ41" s="26" t="s">
        <v>1215</v>
      </c>
      <c r="BB41" s="31">
        <f t="shared" si="44"/>
        <v>0</v>
      </c>
      <c r="BC41" s="31">
        <f t="shared" si="45"/>
        <v>0</v>
      </c>
      <c r="BD41" s="31">
        <v>0</v>
      </c>
      <c r="BE41" s="31">
        <f t="shared" si="46"/>
        <v>0</v>
      </c>
      <c r="BG41" s="17">
        <f t="shared" si="47"/>
        <v>0</v>
      </c>
      <c r="BH41" s="17">
        <f t="shared" si="48"/>
        <v>0</v>
      </c>
      <c r="BI41" s="17">
        <f t="shared" si="49"/>
        <v>0</v>
      </c>
    </row>
    <row r="42" spans="1:61" ht="13.5" thickBot="1">
      <c r="A42" s="4" t="s">
        <v>30</v>
      </c>
      <c r="B42" s="4"/>
      <c r="C42" s="4" t="s">
        <v>399</v>
      </c>
      <c r="D42" s="71" t="s">
        <v>765</v>
      </c>
      <c r="E42" s="4" t="s">
        <v>1122</v>
      </c>
      <c r="F42" s="17">
        <v>7.42</v>
      </c>
      <c r="G42" s="148">
        <v>0</v>
      </c>
      <c r="H42" s="17">
        <f t="shared" si="26"/>
        <v>0</v>
      </c>
      <c r="I42" s="17">
        <f t="shared" si="27"/>
        <v>0</v>
      </c>
      <c r="J42" s="17">
        <f t="shared" si="28"/>
        <v>0</v>
      </c>
      <c r="K42" s="17">
        <v>1.00349</v>
      </c>
      <c r="L42" s="17">
        <f t="shared" si="29"/>
        <v>7.4458958</v>
      </c>
      <c r="Y42" s="31">
        <f t="shared" si="30"/>
        <v>0</v>
      </c>
      <c r="AA42" s="31">
        <f t="shared" si="31"/>
        <v>0</v>
      </c>
      <c r="AB42" s="31">
        <f t="shared" si="32"/>
        <v>0</v>
      </c>
      <c r="AC42" s="31">
        <f t="shared" si="33"/>
        <v>0</v>
      </c>
      <c r="AD42" s="31">
        <f t="shared" si="34"/>
        <v>0</v>
      </c>
      <c r="AE42" s="31">
        <f t="shared" si="35"/>
        <v>0</v>
      </c>
      <c r="AF42" s="31">
        <f t="shared" si="36"/>
        <v>0</v>
      </c>
      <c r="AG42" s="31">
        <f t="shared" si="37"/>
        <v>0</v>
      </c>
      <c r="AH42" s="26"/>
      <c r="AI42" s="17">
        <f t="shared" si="38"/>
        <v>0</v>
      </c>
      <c r="AJ42" s="17">
        <f t="shared" si="39"/>
        <v>0</v>
      </c>
      <c r="AK42" s="17">
        <f t="shared" si="40"/>
        <v>0</v>
      </c>
      <c r="AM42" s="31">
        <v>21</v>
      </c>
      <c r="AN42" s="31">
        <f>G42*0.509632715195129</f>
        <v>0</v>
      </c>
      <c r="AO42" s="31">
        <f>G42*(1-0.509632715195129)</f>
        <v>0</v>
      </c>
      <c r="AP42" s="27" t="s">
        <v>7</v>
      </c>
      <c r="AU42" s="31">
        <f t="shared" si="41"/>
        <v>0</v>
      </c>
      <c r="AV42" s="31">
        <f t="shared" si="42"/>
        <v>0</v>
      </c>
      <c r="AW42" s="31">
        <f t="shared" si="43"/>
        <v>0</v>
      </c>
      <c r="AX42" s="32" t="s">
        <v>1160</v>
      </c>
      <c r="AY42" s="32" t="s">
        <v>1201</v>
      </c>
      <c r="AZ42" s="26" t="s">
        <v>1215</v>
      </c>
      <c r="BB42" s="31">
        <f t="shared" si="44"/>
        <v>0</v>
      </c>
      <c r="BC42" s="31">
        <f t="shared" si="45"/>
        <v>0</v>
      </c>
      <c r="BD42" s="31">
        <v>0</v>
      </c>
      <c r="BE42" s="31">
        <f t="shared" si="46"/>
        <v>7.4458958</v>
      </c>
      <c r="BG42" s="17">
        <f t="shared" si="47"/>
        <v>0</v>
      </c>
      <c r="BH42" s="17">
        <f t="shared" si="48"/>
        <v>0</v>
      </c>
      <c r="BI42" s="17">
        <f t="shared" si="49"/>
        <v>0</v>
      </c>
    </row>
    <row r="43" spans="1:46" ht="12.75">
      <c r="A43" s="6"/>
      <c r="B43" s="13"/>
      <c r="C43" s="13" t="s">
        <v>37</v>
      </c>
      <c r="D43" s="73" t="s">
        <v>766</v>
      </c>
      <c r="E43" s="6" t="s">
        <v>6</v>
      </c>
      <c r="F43" s="6" t="s">
        <v>6</v>
      </c>
      <c r="G43" s="150" t="s">
        <v>6</v>
      </c>
      <c r="H43" s="34">
        <f>SUM(H44:H47)</f>
        <v>0</v>
      </c>
      <c r="I43" s="34">
        <f>SUM(I44:I47)</f>
        <v>0</v>
      </c>
      <c r="J43" s="34">
        <f>SUM(J44:J47)</f>
        <v>0</v>
      </c>
      <c r="K43" s="26"/>
      <c r="L43" s="34">
        <f>SUM(L44:L47)</f>
        <v>129.65920565</v>
      </c>
      <c r="AH43" s="26"/>
      <c r="AR43" s="34">
        <f>SUM(AI44:AI47)</f>
        <v>0</v>
      </c>
      <c r="AS43" s="34">
        <f>SUM(AJ44:AJ47)</f>
        <v>0</v>
      </c>
      <c r="AT43" s="34">
        <f>SUM(AK44:AK47)</f>
        <v>0</v>
      </c>
    </row>
    <row r="44" spans="1:61" ht="12.75">
      <c r="A44" s="4" t="s">
        <v>31</v>
      </c>
      <c r="B44" s="4"/>
      <c r="C44" s="4" t="s">
        <v>400</v>
      </c>
      <c r="D44" s="71" t="s">
        <v>767</v>
      </c>
      <c r="E44" s="4" t="s">
        <v>1121</v>
      </c>
      <c r="F44" s="17">
        <v>405.645</v>
      </c>
      <c r="G44" s="148">
        <v>0</v>
      </c>
      <c r="H44" s="17">
        <f>F44*AN44</f>
        <v>0</v>
      </c>
      <c r="I44" s="17">
        <f>F44*AO44</f>
        <v>0</v>
      </c>
      <c r="J44" s="17">
        <f>F44*G44</f>
        <v>0</v>
      </c>
      <c r="K44" s="17">
        <v>0.28209</v>
      </c>
      <c r="L44" s="17">
        <f>F44*K44</f>
        <v>114.42839805</v>
      </c>
      <c r="Y44" s="31">
        <f>IF(AP44="5",BI44,0)</f>
        <v>0</v>
      </c>
      <c r="AA44" s="31">
        <f>IF(AP44="1",BG44,0)</f>
        <v>0</v>
      </c>
      <c r="AB44" s="31">
        <f>IF(AP44="1",BH44,0)</f>
        <v>0</v>
      </c>
      <c r="AC44" s="31">
        <f>IF(AP44="7",BG44,0)</f>
        <v>0</v>
      </c>
      <c r="AD44" s="31">
        <f>IF(AP44="7",BH44,0)</f>
        <v>0</v>
      </c>
      <c r="AE44" s="31">
        <f>IF(AP44="2",BG44,0)</f>
        <v>0</v>
      </c>
      <c r="AF44" s="31">
        <f>IF(AP44="2",BH44,0)</f>
        <v>0</v>
      </c>
      <c r="AG44" s="31">
        <f>IF(AP44="0",BI44,0)</f>
        <v>0</v>
      </c>
      <c r="AH44" s="26"/>
      <c r="AI44" s="17">
        <f>IF(AM44=0,J44,0)</f>
        <v>0</v>
      </c>
      <c r="AJ44" s="17">
        <f>IF(AM44=15,J44,0)</f>
        <v>0</v>
      </c>
      <c r="AK44" s="17">
        <f>IF(AM44=21,J44,0)</f>
        <v>0</v>
      </c>
      <c r="AM44" s="31">
        <v>21</v>
      </c>
      <c r="AN44" s="31">
        <f>G44*0.735315315315315</f>
        <v>0</v>
      </c>
      <c r="AO44" s="31">
        <f>G44*(1-0.735315315315315)</f>
        <v>0</v>
      </c>
      <c r="AP44" s="27" t="s">
        <v>7</v>
      </c>
      <c r="AU44" s="31">
        <f>AV44+AW44</f>
        <v>0</v>
      </c>
      <c r="AV44" s="31">
        <f>F44*AN44</f>
        <v>0</v>
      </c>
      <c r="AW44" s="31">
        <f>F44*AO44</f>
        <v>0</v>
      </c>
      <c r="AX44" s="32" t="s">
        <v>1161</v>
      </c>
      <c r="AY44" s="32" t="s">
        <v>1202</v>
      </c>
      <c r="AZ44" s="26" t="s">
        <v>1215</v>
      </c>
      <c r="BB44" s="31">
        <f>AV44+AW44</f>
        <v>0</v>
      </c>
      <c r="BC44" s="31">
        <f>G44/(100-BD44)*100</f>
        <v>0</v>
      </c>
      <c r="BD44" s="31">
        <v>0</v>
      </c>
      <c r="BE44" s="31">
        <f>L44</f>
        <v>114.42839805</v>
      </c>
      <c r="BG44" s="17">
        <f>F44*AN44</f>
        <v>0</v>
      </c>
      <c r="BH44" s="17">
        <f>F44*AO44</f>
        <v>0</v>
      </c>
      <c r="BI44" s="17">
        <f>F44*G44</f>
        <v>0</v>
      </c>
    </row>
    <row r="45" spans="1:61" ht="12.75">
      <c r="A45" s="4" t="s">
        <v>32</v>
      </c>
      <c r="B45" s="4"/>
      <c r="C45" s="4" t="s">
        <v>401</v>
      </c>
      <c r="D45" s="71" t="s">
        <v>768</v>
      </c>
      <c r="E45" s="4" t="s">
        <v>1121</v>
      </c>
      <c r="F45" s="17">
        <v>44.94</v>
      </c>
      <c r="G45" s="148">
        <v>0</v>
      </c>
      <c r="H45" s="17">
        <f>F45*AN45</f>
        <v>0</v>
      </c>
      <c r="I45" s="17">
        <f>F45*AO45</f>
        <v>0</v>
      </c>
      <c r="J45" s="17">
        <f>F45*G45</f>
        <v>0</v>
      </c>
      <c r="K45" s="17">
        <v>0.22062</v>
      </c>
      <c r="L45" s="17">
        <f>F45*K45</f>
        <v>9.9146628</v>
      </c>
      <c r="Y45" s="31">
        <f>IF(AP45="5",BI45,0)</f>
        <v>0</v>
      </c>
      <c r="AA45" s="31">
        <f>IF(AP45="1",BG45,0)</f>
        <v>0</v>
      </c>
      <c r="AB45" s="31">
        <f>IF(AP45="1",BH45,0)</f>
        <v>0</v>
      </c>
      <c r="AC45" s="31">
        <f>IF(AP45="7",BG45,0)</f>
        <v>0</v>
      </c>
      <c r="AD45" s="31">
        <f>IF(AP45="7",BH45,0)</f>
        <v>0</v>
      </c>
      <c r="AE45" s="31">
        <f>IF(AP45="2",BG45,0)</f>
        <v>0</v>
      </c>
      <c r="AF45" s="31">
        <f>IF(AP45="2",BH45,0)</f>
        <v>0</v>
      </c>
      <c r="AG45" s="31">
        <f>IF(AP45="0",BI45,0)</f>
        <v>0</v>
      </c>
      <c r="AH45" s="26"/>
      <c r="AI45" s="17">
        <f>IF(AM45=0,J45,0)</f>
        <v>0</v>
      </c>
      <c r="AJ45" s="17">
        <f>IF(AM45=15,J45,0)</f>
        <v>0</v>
      </c>
      <c r="AK45" s="17">
        <f>IF(AM45=21,J45,0)</f>
        <v>0</v>
      </c>
      <c r="AM45" s="31">
        <v>21</v>
      </c>
      <c r="AN45" s="31">
        <f>G45*0.785446313065977</f>
        <v>0</v>
      </c>
      <c r="AO45" s="31">
        <f>G45*(1-0.785446313065977)</f>
        <v>0</v>
      </c>
      <c r="AP45" s="27" t="s">
        <v>7</v>
      </c>
      <c r="AU45" s="31">
        <f>AV45+AW45</f>
        <v>0</v>
      </c>
      <c r="AV45" s="31">
        <f>F45*AN45</f>
        <v>0</v>
      </c>
      <c r="AW45" s="31">
        <f>F45*AO45</f>
        <v>0</v>
      </c>
      <c r="AX45" s="32" t="s">
        <v>1161</v>
      </c>
      <c r="AY45" s="32" t="s">
        <v>1202</v>
      </c>
      <c r="AZ45" s="26" t="s">
        <v>1215</v>
      </c>
      <c r="BB45" s="31">
        <f>AV45+AW45</f>
        <v>0</v>
      </c>
      <c r="BC45" s="31">
        <f>G45/(100-BD45)*100</f>
        <v>0</v>
      </c>
      <c r="BD45" s="31">
        <v>0</v>
      </c>
      <c r="BE45" s="31">
        <f>L45</f>
        <v>9.9146628</v>
      </c>
      <c r="BG45" s="17">
        <f>F45*AN45</f>
        <v>0</v>
      </c>
      <c r="BH45" s="17">
        <f>F45*AO45</f>
        <v>0</v>
      </c>
      <c r="BI45" s="17">
        <f>F45*G45</f>
        <v>0</v>
      </c>
    </row>
    <row r="46" spans="1:61" ht="12.75">
      <c r="A46" s="4" t="s">
        <v>33</v>
      </c>
      <c r="B46" s="4"/>
      <c r="C46" s="4" t="s">
        <v>402</v>
      </c>
      <c r="D46" s="71" t="s">
        <v>769</v>
      </c>
      <c r="E46" s="4" t="s">
        <v>1120</v>
      </c>
      <c r="F46" s="17">
        <v>62</v>
      </c>
      <c r="G46" s="148">
        <v>0</v>
      </c>
      <c r="H46" s="17">
        <f>F46*AN46</f>
        <v>0</v>
      </c>
      <c r="I46" s="17">
        <f>F46*AO46</f>
        <v>0</v>
      </c>
      <c r="J46" s="17">
        <f>F46*G46</f>
        <v>0</v>
      </c>
      <c r="K46" s="17">
        <v>0.05422</v>
      </c>
      <c r="L46" s="17">
        <f>F46*K46</f>
        <v>3.36164</v>
      </c>
      <c r="Y46" s="31">
        <f>IF(AP46="5",BI46,0)</f>
        <v>0</v>
      </c>
      <c r="AA46" s="31">
        <f>IF(AP46="1",BG46,0)</f>
        <v>0</v>
      </c>
      <c r="AB46" s="31">
        <f>IF(AP46="1",BH46,0)</f>
        <v>0</v>
      </c>
      <c r="AC46" s="31">
        <f>IF(AP46="7",BG46,0)</f>
        <v>0</v>
      </c>
      <c r="AD46" s="31">
        <f>IF(AP46="7",BH46,0)</f>
        <v>0</v>
      </c>
      <c r="AE46" s="31">
        <f>IF(AP46="2",BG46,0)</f>
        <v>0</v>
      </c>
      <c r="AF46" s="31">
        <f>IF(AP46="2",BH46,0)</f>
        <v>0</v>
      </c>
      <c r="AG46" s="31">
        <f>IF(AP46="0",BI46,0)</f>
        <v>0</v>
      </c>
      <c r="AH46" s="26"/>
      <c r="AI46" s="17">
        <f>IF(AM46=0,J46,0)</f>
        <v>0</v>
      </c>
      <c r="AJ46" s="17">
        <f>IF(AM46=15,J46,0)</f>
        <v>0</v>
      </c>
      <c r="AK46" s="17">
        <f>IF(AM46=21,J46,0)</f>
        <v>0</v>
      </c>
      <c r="AM46" s="31">
        <v>21</v>
      </c>
      <c r="AN46" s="31">
        <f>G46*0.771537964489965</f>
        <v>0</v>
      </c>
      <c r="AO46" s="31">
        <f>G46*(1-0.771537964489965)</f>
        <v>0</v>
      </c>
      <c r="AP46" s="27" t="s">
        <v>7</v>
      </c>
      <c r="AU46" s="31">
        <f>AV46+AW46</f>
        <v>0</v>
      </c>
      <c r="AV46" s="31">
        <f>F46*AN46</f>
        <v>0</v>
      </c>
      <c r="AW46" s="31">
        <f>F46*AO46</f>
        <v>0</v>
      </c>
      <c r="AX46" s="32" t="s">
        <v>1161</v>
      </c>
      <c r="AY46" s="32" t="s">
        <v>1202</v>
      </c>
      <c r="AZ46" s="26" t="s">
        <v>1215</v>
      </c>
      <c r="BB46" s="31">
        <f>AV46+AW46</f>
        <v>0</v>
      </c>
      <c r="BC46" s="31">
        <f>G46/(100-BD46)*100</f>
        <v>0</v>
      </c>
      <c r="BD46" s="31">
        <v>0</v>
      </c>
      <c r="BE46" s="31">
        <f>L46</f>
        <v>3.36164</v>
      </c>
      <c r="BG46" s="17">
        <f>F46*AN46</f>
        <v>0</v>
      </c>
      <c r="BH46" s="17">
        <f>F46*AO46</f>
        <v>0</v>
      </c>
      <c r="BI46" s="17">
        <f>F46*G46</f>
        <v>0</v>
      </c>
    </row>
    <row r="47" spans="1:61" ht="13.5" thickBot="1">
      <c r="A47" s="4" t="s">
        <v>34</v>
      </c>
      <c r="B47" s="4"/>
      <c r="C47" s="4" t="s">
        <v>403</v>
      </c>
      <c r="D47" s="71" t="s">
        <v>770</v>
      </c>
      <c r="E47" s="4" t="s">
        <v>1119</v>
      </c>
      <c r="F47" s="17">
        <v>1.18</v>
      </c>
      <c r="G47" s="148">
        <v>0</v>
      </c>
      <c r="H47" s="17">
        <f>F47*AN47</f>
        <v>0</v>
      </c>
      <c r="I47" s="17">
        <f>F47*AO47</f>
        <v>0</v>
      </c>
      <c r="J47" s="17">
        <f>F47*G47</f>
        <v>0</v>
      </c>
      <c r="K47" s="17">
        <v>1.65636</v>
      </c>
      <c r="L47" s="17">
        <f>F47*K47</f>
        <v>1.9545048</v>
      </c>
      <c r="Y47" s="31">
        <f>IF(AP47="5",BI47,0)</f>
        <v>0</v>
      </c>
      <c r="AA47" s="31">
        <f>IF(AP47="1",BG47,0)</f>
        <v>0</v>
      </c>
      <c r="AB47" s="31">
        <f>IF(AP47="1",BH47,0)</f>
        <v>0</v>
      </c>
      <c r="AC47" s="31">
        <f>IF(AP47="7",BG47,0)</f>
        <v>0</v>
      </c>
      <c r="AD47" s="31">
        <f>IF(AP47="7",BH47,0)</f>
        <v>0</v>
      </c>
      <c r="AE47" s="31">
        <f>IF(AP47="2",BG47,0)</f>
        <v>0</v>
      </c>
      <c r="AF47" s="31">
        <f>IF(AP47="2",BH47,0)</f>
        <v>0</v>
      </c>
      <c r="AG47" s="31">
        <f>IF(AP47="0",BI47,0)</f>
        <v>0</v>
      </c>
      <c r="AH47" s="26"/>
      <c r="AI47" s="17">
        <f>IF(AM47=0,J47,0)</f>
        <v>0</v>
      </c>
      <c r="AJ47" s="17">
        <f>IF(AM47=15,J47,0)</f>
        <v>0</v>
      </c>
      <c r="AK47" s="17">
        <f>IF(AM47=21,J47,0)</f>
        <v>0</v>
      </c>
      <c r="AM47" s="31">
        <v>21</v>
      </c>
      <c r="AN47" s="31">
        <f>G47*0.647958224543081</f>
        <v>0</v>
      </c>
      <c r="AO47" s="31">
        <f>G47*(1-0.647958224543081)</f>
        <v>0</v>
      </c>
      <c r="AP47" s="27" t="s">
        <v>7</v>
      </c>
      <c r="AU47" s="31">
        <f>AV47+AW47</f>
        <v>0</v>
      </c>
      <c r="AV47" s="31">
        <f>F47*AN47</f>
        <v>0</v>
      </c>
      <c r="AW47" s="31">
        <f>F47*AO47</f>
        <v>0</v>
      </c>
      <c r="AX47" s="32" t="s">
        <v>1161</v>
      </c>
      <c r="AY47" s="32" t="s">
        <v>1202</v>
      </c>
      <c r="AZ47" s="26" t="s">
        <v>1215</v>
      </c>
      <c r="BB47" s="31">
        <f>AV47+AW47</f>
        <v>0</v>
      </c>
      <c r="BC47" s="31">
        <f>G47/(100-BD47)*100</f>
        <v>0</v>
      </c>
      <c r="BD47" s="31">
        <v>0</v>
      </c>
      <c r="BE47" s="31">
        <f>L47</f>
        <v>1.9545048</v>
      </c>
      <c r="BG47" s="17">
        <f>F47*AN47</f>
        <v>0</v>
      </c>
      <c r="BH47" s="17">
        <f>F47*AO47</f>
        <v>0</v>
      </c>
      <c r="BI47" s="17">
        <f>F47*G47</f>
        <v>0</v>
      </c>
    </row>
    <row r="48" spans="1:46" ht="12.75">
      <c r="A48" s="6"/>
      <c r="B48" s="13"/>
      <c r="C48" s="13" t="s">
        <v>39</v>
      </c>
      <c r="D48" s="73" t="s">
        <v>771</v>
      </c>
      <c r="E48" s="6" t="s">
        <v>6</v>
      </c>
      <c r="F48" s="6" t="s">
        <v>6</v>
      </c>
      <c r="G48" s="150" t="s">
        <v>6</v>
      </c>
      <c r="H48" s="34">
        <f>SUM(H49:H54)</f>
        <v>0</v>
      </c>
      <c r="I48" s="34">
        <f>SUM(I49:I54)</f>
        <v>0</v>
      </c>
      <c r="J48" s="34">
        <f>SUM(J49:J54)</f>
        <v>0</v>
      </c>
      <c r="K48" s="26"/>
      <c r="L48" s="34">
        <f>SUM(L49:L54)</f>
        <v>5.838741760000001</v>
      </c>
      <c r="AH48" s="26"/>
      <c r="AR48" s="34">
        <f>SUM(AI49:AI54)</f>
        <v>0</v>
      </c>
      <c r="AS48" s="34">
        <f>SUM(AJ49:AJ54)</f>
        <v>0</v>
      </c>
      <c r="AT48" s="34">
        <f>SUM(AK49:AK54)</f>
        <v>0</v>
      </c>
    </row>
    <row r="49" spans="1:61" ht="12.75">
      <c r="A49" s="4" t="s">
        <v>35</v>
      </c>
      <c r="B49" s="4"/>
      <c r="C49" s="4" t="s">
        <v>404</v>
      </c>
      <c r="D49" s="71" t="s">
        <v>772</v>
      </c>
      <c r="E49" s="4" t="s">
        <v>1119</v>
      </c>
      <c r="F49" s="17">
        <v>1.6</v>
      </c>
      <c r="G49" s="148">
        <v>0</v>
      </c>
      <c r="H49" s="17">
        <f aca="true" t="shared" si="50" ref="H49:H54">F49*AN49</f>
        <v>0</v>
      </c>
      <c r="I49" s="17">
        <f aca="true" t="shared" si="51" ref="I49:I54">F49*AO49</f>
        <v>0</v>
      </c>
      <c r="J49" s="17">
        <f aca="true" t="shared" si="52" ref="J49:J54">F49*G49</f>
        <v>0</v>
      </c>
      <c r="K49" s="17">
        <v>2.53999</v>
      </c>
      <c r="L49" s="17">
        <f aca="true" t="shared" si="53" ref="L49:L54">F49*K49</f>
        <v>4.0639840000000005</v>
      </c>
      <c r="Y49" s="31">
        <f aca="true" t="shared" si="54" ref="Y49:Y54">IF(AP49="5",BI49,0)</f>
        <v>0</v>
      </c>
      <c r="AA49" s="31">
        <f aca="true" t="shared" si="55" ref="AA49:AA54">IF(AP49="1",BG49,0)</f>
        <v>0</v>
      </c>
      <c r="AB49" s="31">
        <f aca="true" t="shared" si="56" ref="AB49:AB54">IF(AP49="1",BH49,0)</f>
        <v>0</v>
      </c>
      <c r="AC49" s="31">
        <f aca="true" t="shared" si="57" ref="AC49:AC54">IF(AP49="7",BG49,0)</f>
        <v>0</v>
      </c>
      <c r="AD49" s="31">
        <f aca="true" t="shared" si="58" ref="AD49:AD54">IF(AP49="7",BH49,0)</f>
        <v>0</v>
      </c>
      <c r="AE49" s="31">
        <f aca="true" t="shared" si="59" ref="AE49:AE54">IF(AP49="2",BG49,0)</f>
        <v>0</v>
      </c>
      <c r="AF49" s="31">
        <f aca="true" t="shared" si="60" ref="AF49:AF54">IF(AP49="2",BH49,0)</f>
        <v>0</v>
      </c>
      <c r="AG49" s="31">
        <f aca="true" t="shared" si="61" ref="AG49:AG54">IF(AP49="0",BI49,0)</f>
        <v>0</v>
      </c>
      <c r="AH49" s="26"/>
      <c r="AI49" s="17">
        <f aca="true" t="shared" si="62" ref="AI49:AI54">IF(AM49=0,J49,0)</f>
        <v>0</v>
      </c>
      <c r="AJ49" s="17">
        <f aca="true" t="shared" si="63" ref="AJ49:AJ54">IF(AM49=15,J49,0)</f>
        <v>0</v>
      </c>
      <c r="AK49" s="17">
        <f aca="true" t="shared" si="64" ref="AK49:AK54">IF(AM49=21,J49,0)</f>
        <v>0</v>
      </c>
      <c r="AM49" s="31">
        <v>21</v>
      </c>
      <c r="AN49" s="31">
        <f>G49*0.741726084235771</f>
        <v>0</v>
      </c>
      <c r="AO49" s="31">
        <f>G49*(1-0.741726084235771)</f>
        <v>0</v>
      </c>
      <c r="AP49" s="27" t="s">
        <v>7</v>
      </c>
      <c r="AU49" s="31">
        <f aca="true" t="shared" si="65" ref="AU49:AU54">AV49+AW49</f>
        <v>0</v>
      </c>
      <c r="AV49" s="31">
        <f aca="true" t="shared" si="66" ref="AV49:AV54">F49*AN49</f>
        <v>0</v>
      </c>
      <c r="AW49" s="31">
        <f aca="true" t="shared" si="67" ref="AW49:AW54">F49*AO49</f>
        <v>0</v>
      </c>
      <c r="AX49" s="32" t="s">
        <v>1162</v>
      </c>
      <c r="AY49" s="32" t="s">
        <v>1202</v>
      </c>
      <c r="AZ49" s="26" t="s">
        <v>1215</v>
      </c>
      <c r="BB49" s="31">
        <f aca="true" t="shared" si="68" ref="BB49:BB54">AV49+AW49</f>
        <v>0</v>
      </c>
      <c r="BC49" s="31">
        <f aca="true" t="shared" si="69" ref="BC49:BC54">G49/(100-BD49)*100</f>
        <v>0</v>
      </c>
      <c r="BD49" s="31">
        <v>0</v>
      </c>
      <c r="BE49" s="31">
        <f aca="true" t="shared" si="70" ref="BE49:BE54">L49</f>
        <v>4.0639840000000005</v>
      </c>
      <c r="BG49" s="17">
        <f aca="true" t="shared" si="71" ref="BG49:BG54">F49*AN49</f>
        <v>0</v>
      </c>
      <c r="BH49" s="17">
        <f aca="true" t="shared" si="72" ref="BH49:BH54">F49*AO49</f>
        <v>0</v>
      </c>
      <c r="BI49" s="17">
        <f aca="true" t="shared" si="73" ref="BI49:BI54">F49*G49</f>
        <v>0</v>
      </c>
    </row>
    <row r="50" spans="1:61" ht="12.75">
      <c r="A50" s="4" t="s">
        <v>36</v>
      </c>
      <c r="B50" s="4"/>
      <c r="C50" s="4" t="s">
        <v>405</v>
      </c>
      <c r="D50" s="71" t="s">
        <v>773</v>
      </c>
      <c r="E50" s="4" t="s">
        <v>1122</v>
      </c>
      <c r="F50" s="17">
        <v>0.256</v>
      </c>
      <c r="G50" s="148">
        <v>0</v>
      </c>
      <c r="H50" s="17">
        <f t="shared" si="50"/>
        <v>0</v>
      </c>
      <c r="I50" s="17">
        <f t="shared" si="51"/>
        <v>0</v>
      </c>
      <c r="J50" s="17">
        <f t="shared" si="52"/>
        <v>0</v>
      </c>
      <c r="K50" s="17">
        <v>1.02396</v>
      </c>
      <c r="L50" s="17">
        <f t="shared" si="53"/>
        <v>0.26213376</v>
      </c>
      <c r="Y50" s="31">
        <f t="shared" si="54"/>
        <v>0</v>
      </c>
      <c r="AA50" s="31">
        <f t="shared" si="55"/>
        <v>0</v>
      </c>
      <c r="AB50" s="31">
        <f t="shared" si="56"/>
        <v>0</v>
      </c>
      <c r="AC50" s="31">
        <f t="shared" si="57"/>
        <v>0</v>
      </c>
      <c r="AD50" s="31">
        <f t="shared" si="58"/>
        <v>0</v>
      </c>
      <c r="AE50" s="31">
        <f t="shared" si="59"/>
        <v>0</v>
      </c>
      <c r="AF50" s="31">
        <f t="shared" si="60"/>
        <v>0</v>
      </c>
      <c r="AG50" s="31">
        <f t="shared" si="61"/>
        <v>0</v>
      </c>
      <c r="AH50" s="26"/>
      <c r="AI50" s="17">
        <f t="shared" si="62"/>
        <v>0</v>
      </c>
      <c r="AJ50" s="17">
        <f t="shared" si="63"/>
        <v>0</v>
      </c>
      <c r="AK50" s="17">
        <f t="shared" si="64"/>
        <v>0</v>
      </c>
      <c r="AM50" s="31">
        <v>21</v>
      </c>
      <c r="AN50" s="31">
        <f>G50*0.648210121268657</f>
        <v>0</v>
      </c>
      <c r="AO50" s="31">
        <f>G50*(1-0.648210121268657)</f>
        <v>0</v>
      </c>
      <c r="AP50" s="27" t="s">
        <v>7</v>
      </c>
      <c r="AU50" s="31">
        <f t="shared" si="65"/>
        <v>0</v>
      </c>
      <c r="AV50" s="31">
        <f t="shared" si="66"/>
        <v>0</v>
      </c>
      <c r="AW50" s="31">
        <f t="shared" si="67"/>
        <v>0</v>
      </c>
      <c r="AX50" s="32" t="s">
        <v>1162</v>
      </c>
      <c r="AY50" s="32" t="s">
        <v>1202</v>
      </c>
      <c r="AZ50" s="26" t="s">
        <v>1215</v>
      </c>
      <c r="BB50" s="31">
        <f t="shared" si="68"/>
        <v>0</v>
      </c>
      <c r="BC50" s="31">
        <f t="shared" si="69"/>
        <v>0</v>
      </c>
      <c r="BD50" s="31">
        <v>0</v>
      </c>
      <c r="BE50" s="31">
        <f t="shared" si="70"/>
        <v>0.26213376</v>
      </c>
      <c r="BG50" s="17">
        <f t="shared" si="71"/>
        <v>0</v>
      </c>
      <c r="BH50" s="17">
        <f t="shared" si="72"/>
        <v>0</v>
      </c>
      <c r="BI50" s="17">
        <f t="shared" si="73"/>
        <v>0</v>
      </c>
    </row>
    <row r="51" spans="1:61" ht="12.75">
      <c r="A51" s="4" t="s">
        <v>37</v>
      </c>
      <c r="B51" s="4"/>
      <c r="C51" s="4" t="s">
        <v>406</v>
      </c>
      <c r="D51" s="71" t="s">
        <v>774</v>
      </c>
      <c r="E51" s="4" t="s">
        <v>1123</v>
      </c>
      <c r="F51" s="17">
        <v>8</v>
      </c>
      <c r="G51" s="148">
        <v>0</v>
      </c>
      <c r="H51" s="17">
        <f t="shared" si="50"/>
        <v>0</v>
      </c>
      <c r="I51" s="17">
        <f t="shared" si="51"/>
        <v>0</v>
      </c>
      <c r="J51" s="17">
        <f t="shared" si="52"/>
        <v>0</v>
      </c>
      <c r="K51" s="17">
        <v>0.00093</v>
      </c>
      <c r="L51" s="17">
        <f t="shared" si="53"/>
        <v>0.00744</v>
      </c>
      <c r="Y51" s="31">
        <f t="shared" si="54"/>
        <v>0</v>
      </c>
      <c r="AA51" s="31">
        <f t="shared" si="55"/>
        <v>0</v>
      </c>
      <c r="AB51" s="31">
        <f t="shared" si="56"/>
        <v>0</v>
      </c>
      <c r="AC51" s="31">
        <f t="shared" si="57"/>
        <v>0</v>
      </c>
      <c r="AD51" s="31">
        <f t="shared" si="58"/>
        <v>0</v>
      </c>
      <c r="AE51" s="31">
        <f t="shared" si="59"/>
        <v>0</v>
      </c>
      <c r="AF51" s="31">
        <f t="shared" si="60"/>
        <v>0</v>
      </c>
      <c r="AG51" s="31">
        <f t="shared" si="61"/>
        <v>0</v>
      </c>
      <c r="AH51" s="26"/>
      <c r="AI51" s="17">
        <f t="shared" si="62"/>
        <v>0</v>
      </c>
      <c r="AJ51" s="17">
        <f t="shared" si="63"/>
        <v>0</v>
      </c>
      <c r="AK51" s="17">
        <f t="shared" si="64"/>
        <v>0</v>
      </c>
      <c r="AM51" s="31">
        <v>21</v>
      </c>
      <c r="AN51" s="31">
        <f>G51*0.215215816533861</f>
        <v>0</v>
      </c>
      <c r="AO51" s="31">
        <f>G51*(1-0.215215816533861)</f>
        <v>0</v>
      </c>
      <c r="AP51" s="27" t="s">
        <v>7</v>
      </c>
      <c r="AU51" s="31">
        <f t="shared" si="65"/>
        <v>0</v>
      </c>
      <c r="AV51" s="31">
        <f t="shared" si="66"/>
        <v>0</v>
      </c>
      <c r="AW51" s="31">
        <f t="shared" si="67"/>
        <v>0</v>
      </c>
      <c r="AX51" s="32" t="s">
        <v>1162</v>
      </c>
      <c r="AY51" s="32" t="s">
        <v>1202</v>
      </c>
      <c r="AZ51" s="26" t="s">
        <v>1215</v>
      </c>
      <c r="BB51" s="31">
        <f t="shared" si="68"/>
        <v>0</v>
      </c>
      <c r="BC51" s="31">
        <f t="shared" si="69"/>
        <v>0</v>
      </c>
      <c r="BD51" s="31">
        <v>0</v>
      </c>
      <c r="BE51" s="31">
        <f t="shared" si="70"/>
        <v>0.00744</v>
      </c>
      <c r="BG51" s="17">
        <f t="shared" si="71"/>
        <v>0</v>
      </c>
      <c r="BH51" s="17">
        <f t="shared" si="72"/>
        <v>0</v>
      </c>
      <c r="BI51" s="17">
        <f t="shared" si="73"/>
        <v>0</v>
      </c>
    </row>
    <row r="52" spans="1:61" ht="12.75">
      <c r="A52" s="4" t="s">
        <v>38</v>
      </c>
      <c r="B52" s="4"/>
      <c r="C52" s="4" t="s">
        <v>407</v>
      </c>
      <c r="D52" s="71" t="s">
        <v>775</v>
      </c>
      <c r="E52" s="4" t="s">
        <v>1121</v>
      </c>
      <c r="F52" s="17">
        <v>14.4</v>
      </c>
      <c r="G52" s="148">
        <v>0</v>
      </c>
      <c r="H52" s="17">
        <f t="shared" si="50"/>
        <v>0</v>
      </c>
      <c r="I52" s="17">
        <f t="shared" si="51"/>
        <v>0</v>
      </c>
      <c r="J52" s="17">
        <f t="shared" si="52"/>
        <v>0</v>
      </c>
      <c r="K52" s="17">
        <v>0.04498</v>
      </c>
      <c r="L52" s="17">
        <f t="shared" si="53"/>
        <v>0.647712</v>
      </c>
      <c r="Y52" s="31">
        <f t="shared" si="54"/>
        <v>0</v>
      </c>
      <c r="AA52" s="31">
        <f t="shared" si="55"/>
        <v>0</v>
      </c>
      <c r="AB52" s="31">
        <f t="shared" si="56"/>
        <v>0</v>
      </c>
      <c r="AC52" s="31">
        <f t="shared" si="57"/>
        <v>0</v>
      </c>
      <c r="AD52" s="31">
        <f t="shared" si="58"/>
        <v>0</v>
      </c>
      <c r="AE52" s="31">
        <f t="shared" si="59"/>
        <v>0</v>
      </c>
      <c r="AF52" s="31">
        <f t="shared" si="60"/>
        <v>0</v>
      </c>
      <c r="AG52" s="31">
        <f t="shared" si="61"/>
        <v>0</v>
      </c>
      <c r="AH52" s="26"/>
      <c r="AI52" s="17">
        <f t="shared" si="62"/>
        <v>0</v>
      </c>
      <c r="AJ52" s="17">
        <f t="shared" si="63"/>
        <v>0</v>
      </c>
      <c r="AK52" s="17">
        <f t="shared" si="64"/>
        <v>0</v>
      </c>
      <c r="AM52" s="31">
        <v>21</v>
      </c>
      <c r="AN52" s="31">
        <f>G52*0.587927807486631</f>
        <v>0</v>
      </c>
      <c r="AO52" s="31">
        <f>G52*(1-0.587927807486631)</f>
        <v>0</v>
      </c>
      <c r="AP52" s="27" t="s">
        <v>7</v>
      </c>
      <c r="AU52" s="31">
        <f t="shared" si="65"/>
        <v>0</v>
      </c>
      <c r="AV52" s="31">
        <f t="shared" si="66"/>
        <v>0</v>
      </c>
      <c r="AW52" s="31">
        <f t="shared" si="67"/>
        <v>0</v>
      </c>
      <c r="AX52" s="32" t="s">
        <v>1162</v>
      </c>
      <c r="AY52" s="32" t="s">
        <v>1202</v>
      </c>
      <c r="AZ52" s="26" t="s">
        <v>1215</v>
      </c>
      <c r="BB52" s="31">
        <f t="shared" si="68"/>
        <v>0</v>
      </c>
      <c r="BC52" s="31">
        <f t="shared" si="69"/>
        <v>0</v>
      </c>
      <c r="BD52" s="31">
        <v>0</v>
      </c>
      <c r="BE52" s="31">
        <f t="shared" si="70"/>
        <v>0.647712</v>
      </c>
      <c r="BG52" s="17">
        <f t="shared" si="71"/>
        <v>0</v>
      </c>
      <c r="BH52" s="17">
        <f t="shared" si="72"/>
        <v>0</v>
      </c>
      <c r="BI52" s="17">
        <f t="shared" si="73"/>
        <v>0</v>
      </c>
    </row>
    <row r="53" spans="1:61" ht="12.75">
      <c r="A53" s="4" t="s">
        <v>39</v>
      </c>
      <c r="B53" s="4"/>
      <c r="C53" s="4" t="s">
        <v>408</v>
      </c>
      <c r="D53" s="71" t="s">
        <v>776</v>
      </c>
      <c r="E53" s="4" t="s">
        <v>1121</v>
      </c>
      <c r="F53" s="17">
        <v>14.4</v>
      </c>
      <c r="G53" s="148">
        <v>0</v>
      </c>
      <c r="H53" s="17">
        <f t="shared" si="50"/>
        <v>0</v>
      </c>
      <c r="I53" s="17">
        <f t="shared" si="51"/>
        <v>0</v>
      </c>
      <c r="J53" s="17">
        <f t="shared" si="52"/>
        <v>0</v>
      </c>
      <c r="K53" s="17">
        <v>0.0081</v>
      </c>
      <c r="L53" s="17">
        <f t="shared" si="53"/>
        <v>0.11664</v>
      </c>
      <c r="Y53" s="31">
        <f t="shared" si="54"/>
        <v>0</v>
      </c>
      <c r="AA53" s="31">
        <f t="shared" si="55"/>
        <v>0</v>
      </c>
      <c r="AB53" s="31">
        <f t="shared" si="56"/>
        <v>0</v>
      </c>
      <c r="AC53" s="31">
        <f t="shared" si="57"/>
        <v>0</v>
      </c>
      <c r="AD53" s="31">
        <f t="shared" si="58"/>
        <v>0</v>
      </c>
      <c r="AE53" s="31">
        <f t="shared" si="59"/>
        <v>0</v>
      </c>
      <c r="AF53" s="31">
        <f t="shared" si="60"/>
        <v>0</v>
      </c>
      <c r="AG53" s="31">
        <f t="shared" si="61"/>
        <v>0</v>
      </c>
      <c r="AH53" s="26"/>
      <c r="AI53" s="17">
        <f t="shared" si="62"/>
        <v>0</v>
      </c>
      <c r="AJ53" s="17">
        <f t="shared" si="63"/>
        <v>0</v>
      </c>
      <c r="AK53" s="17">
        <f t="shared" si="64"/>
        <v>0</v>
      </c>
      <c r="AM53" s="31">
        <v>21</v>
      </c>
      <c r="AN53" s="31">
        <f>G53*0.0959712023789339</f>
        <v>0</v>
      </c>
      <c r="AO53" s="31">
        <f>G53*(1-0.0959712023789339)</f>
        <v>0</v>
      </c>
      <c r="AP53" s="27" t="s">
        <v>7</v>
      </c>
      <c r="AU53" s="31">
        <f t="shared" si="65"/>
        <v>0</v>
      </c>
      <c r="AV53" s="31">
        <f t="shared" si="66"/>
        <v>0</v>
      </c>
      <c r="AW53" s="31">
        <f t="shared" si="67"/>
        <v>0</v>
      </c>
      <c r="AX53" s="32" t="s">
        <v>1162</v>
      </c>
      <c r="AY53" s="32" t="s">
        <v>1202</v>
      </c>
      <c r="AZ53" s="26" t="s">
        <v>1215</v>
      </c>
      <c r="BB53" s="31">
        <f t="shared" si="68"/>
        <v>0</v>
      </c>
      <c r="BC53" s="31">
        <f t="shared" si="69"/>
        <v>0</v>
      </c>
      <c r="BD53" s="31">
        <v>0</v>
      </c>
      <c r="BE53" s="31">
        <f t="shared" si="70"/>
        <v>0.11664</v>
      </c>
      <c r="BG53" s="17">
        <f t="shared" si="71"/>
        <v>0</v>
      </c>
      <c r="BH53" s="17">
        <f t="shared" si="72"/>
        <v>0</v>
      </c>
      <c r="BI53" s="17">
        <f t="shared" si="73"/>
        <v>0</v>
      </c>
    </row>
    <row r="54" spans="1:61" ht="12.75">
      <c r="A54" s="4" t="s">
        <v>40</v>
      </c>
      <c r="B54" s="4"/>
      <c r="C54" s="4" t="s">
        <v>409</v>
      </c>
      <c r="D54" s="71" t="s">
        <v>777</v>
      </c>
      <c r="E54" s="4" t="s">
        <v>1119</v>
      </c>
      <c r="F54" s="17">
        <v>0.384</v>
      </c>
      <c r="G54" s="148">
        <v>0</v>
      </c>
      <c r="H54" s="17">
        <f t="shared" si="50"/>
        <v>0</v>
      </c>
      <c r="I54" s="17">
        <f t="shared" si="51"/>
        <v>0</v>
      </c>
      <c r="J54" s="17">
        <f t="shared" si="52"/>
        <v>0</v>
      </c>
      <c r="K54" s="17">
        <v>1.92925</v>
      </c>
      <c r="L54" s="17">
        <f t="shared" si="53"/>
        <v>0.7408319999999999</v>
      </c>
      <c r="Y54" s="31">
        <f t="shared" si="54"/>
        <v>0</v>
      </c>
      <c r="AA54" s="31">
        <f t="shared" si="55"/>
        <v>0</v>
      </c>
      <c r="AB54" s="31">
        <f t="shared" si="56"/>
        <v>0</v>
      </c>
      <c r="AC54" s="31">
        <f t="shared" si="57"/>
        <v>0</v>
      </c>
      <c r="AD54" s="31">
        <f t="shared" si="58"/>
        <v>0</v>
      </c>
      <c r="AE54" s="31">
        <f t="shared" si="59"/>
        <v>0</v>
      </c>
      <c r="AF54" s="31">
        <f t="shared" si="60"/>
        <v>0</v>
      </c>
      <c r="AG54" s="31">
        <f t="shared" si="61"/>
        <v>0</v>
      </c>
      <c r="AH54" s="26"/>
      <c r="AI54" s="17">
        <f t="shared" si="62"/>
        <v>0</v>
      </c>
      <c r="AJ54" s="17">
        <f t="shared" si="63"/>
        <v>0</v>
      </c>
      <c r="AK54" s="17">
        <f t="shared" si="64"/>
        <v>0</v>
      </c>
      <c r="AM54" s="31">
        <v>21</v>
      </c>
      <c r="AN54" s="31">
        <f>G54*0.616495356037152</f>
        <v>0</v>
      </c>
      <c r="AO54" s="31">
        <f>G54*(1-0.616495356037152)</f>
        <v>0</v>
      </c>
      <c r="AP54" s="27" t="s">
        <v>7</v>
      </c>
      <c r="AU54" s="31">
        <f t="shared" si="65"/>
        <v>0</v>
      </c>
      <c r="AV54" s="31">
        <f t="shared" si="66"/>
        <v>0</v>
      </c>
      <c r="AW54" s="31">
        <f t="shared" si="67"/>
        <v>0</v>
      </c>
      <c r="AX54" s="32" t="s">
        <v>1162</v>
      </c>
      <c r="AY54" s="32" t="s">
        <v>1202</v>
      </c>
      <c r="AZ54" s="26" t="s">
        <v>1215</v>
      </c>
      <c r="BB54" s="31">
        <f t="shared" si="68"/>
        <v>0</v>
      </c>
      <c r="BC54" s="31">
        <f t="shared" si="69"/>
        <v>0</v>
      </c>
      <c r="BD54" s="31">
        <v>0</v>
      </c>
      <c r="BE54" s="31">
        <f t="shared" si="70"/>
        <v>0.7408319999999999</v>
      </c>
      <c r="BG54" s="17">
        <f t="shared" si="71"/>
        <v>0</v>
      </c>
      <c r="BH54" s="17">
        <f t="shared" si="72"/>
        <v>0</v>
      </c>
      <c r="BI54" s="17">
        <f t="shared" si="73"/>
        <v>0</v>
      </c>
    </row>
    <row r="55" spans="1:46" ht="12.75">
      <c r="A55" s="6"/>
      <c r="B55" s="13"/>
      <c r="C55" s="13" t="s">
        <v>40</v>
      </c>
      <c r="D55" s="73" t="s">
        <v>778</v>
      </c>
      <c r="E55" s="6" t="s">
        <v>6</v>
      </c>
      <c r="F55" s="6" t="s">
        <v>6</v>
      </c>
      <c r="G55" s="151" t="s">
        <v>6</v>
      </c>
      <c r="H55" s="34">
        <f>SUM(H56:H57)</f>
        <v>0</v>
      </c>
      <c r="I55" s="34">
        <f>SUM(I56:I57)</f>
        <v>0</v>
      </c>
      <c r="J55" s="34">
        <f>SUM(J56:J57)</f>
        <v>0</v>
      </c>
      <c r="K55" s="26"/>
      <c r="L55" s="34">
        <f>SUM(L56:L57)</f>
        <v>7.0010712</v>
      </c>
      <c r="AH55" s="26"/>
      <c r="AR55" s="34">
        <f>SUM(AI56:AI57)</f>
        <v>0</v>
      </c>
      <c r="AS55" s="34">
        <f>SUM(AJ56:AJ57)</f>
        <v>0</v>
      </c>
      <c r="AT55" s="34">
        <f>SUM(AK56:AK57)</f>
        <v>0</v>
      </c>
    </row>
    <row r="56" spans="1:61" ht="12.75">
      <c r="A56" s="4" t="s">
        <v>41</v>
      </c>
      <c r="B56" s="4"/>
      <c r="C56" s="4" t="s">
        <v>410</v>
      </c>
      <c r="D56" s="71" t="s">
        <v>779</v>
      </c>
      <c r="E56" s="4" t="s">
        <v>1121</v>
      </c>
      <c r="F56" s="17">
        <v>11.04</v>
      </c>
      <c r="G56" s="148">
        <v>0</v>
      </c>
      <c r="H56" s="17">
        <f>F56*AN56</f>
        <v>0</v>
      </c>
      <c r="I56" s="17">
        <f>F56*AO56</f>
        <v>0</v>
      </c>
      <c r="J56" s="17">
        <f>F56*G56</f>
        <v>0</v>
      </c>
      <c r="K56" s="17">
        <v>0.10638</v>
      </c>
      <c r="L56" s="17">
        <f>F56*K56</f>
        <v>1.1744352</v>
      </c>
      <c r="Y56" s="31">
        <f>IF(AP56="5",BI56,0)</f>
        <v>0</v>
      </c>
      <c r="AA56" s="31">
        <f>IF(AP56="1",BG56,0)</f>
        <v>0</v>
      </c>
      <c r="AB56" s="31">
        <f>IF(AP56="1",BH56,0)</f>
        <v>0</v>
      </c>
      <c r="AC56" s="31">
        <f>IF(AP56="7",BG56,0)</f>
        <v>0</v>
      </c>
      <c r="AD56" s="31">
        <f>IF(AP56="7",BH56,0)</f>
        <v>0</v>
      </c>
      <c r="AE56" s="31">
        <f>IF(AP56="2",BG56,0)</f>
        <v>0</v>
      </c>
      <c r="AF56" s="31">
        <f>IF(AP56="2",BH56,0)</f>
        <v>0</v>
      </c>
      <c r="AG56" s="31">
        <f>IF(AP56="0",BI56,0)</f>
        <v>0</v>
      </c>
      <c r="AH56" s="26"/>
      <c r="AI56" s="17">
        <f>IF(AM56=0,J56,0)</f>
        <v>0</v>
      </c>
      <c r="AJ56" s="17">
        <f>IF(AM56=15,J56,0)</f>
        <v>0</v>
      </c>
      <c r="AK56" s="17">
        <f>IF(AM56=21,J56,0)</f>
        <v>0</v>
      </c>
      <c r="AM56" s="31">
        <v>21</v>
      </c>
      <c r="AN56" s="31">
        <f>G56*0.638135048231511</f>
        <v>0</v>
      </c>
      <c r="AO56" s="31">
        <f>G56*(1-0.638135048231511)</f>
        <v>0</v>
      </c>
      <c r="AP56" s="27" t="s">
        <v>7</v>
      </c>
      <c r="AU56" s="31">
        <f>AV56+AW56</f>
        <v>0</v>
      </c>
      <c r="AV56" s="31">
        <f>F56*AN56</f>
        <v>0</v>
      </c>
      <c r="AW56" s="31">
        <f>F56*AO56</f>
        <v>0</v>
      </c>
      <c r="AX56" s="32" t="s">
        <v>1163</v>
      </c>
      <c r="AY56" s="32" t="s">
        <v>1202</v>
      </c>
      <c r="AZ56" s="26" t="s">
        <v>1215</v>
      </c>
      <c r="BB56" s="31">
        <f>AV56+AW56</f>
        <v>0</v>
      </c>
      <c r="BC56" s="31">
        <f>G56/(100-BD56)*100</f>
        <v>0</v>
      </c>
      <c r="BD56" s="31">
        <v>0</v>
      </c>
      <c r="BE56" s="31">
        <f>L56</f>
        <v>1.1744352</v>
      </c>
      <c r="BG56" s="17">
        <f>F56*AN56</f>
        <v>0</v>
      </c>
      <c r="BH56" s="17">
        <f>F56*AO56</f>
        <v>0</v>
      </c>
      <c r="BI56" s="17">
        <f>F56*G56</f>
        <v>0</v>
      </c>
    </row>
    <row r="57" spans="1:61" ht="12.75">
      <c r="A57" s="4" t="s">
        <v>42</v>
      </c>
      <c r="B57" s="4"/>
      <c r="C57" s="4" t="s">
        <v>411</v>
      </c>
      <c r="D57" s="71" t="s">
        <v>780</v>
      </c>
      <c r="E57" s="4" t="s">
        <v>1121</v>
      </c>
      <c r="F57" s="17">
        <v>55.8</v>
      </c>
      <c r="G57" s="148">
        <v>0</v>
      </c>
      <c r="H57" s="17">
        <f>F57*AN57</f>
        <v>0</v>
      </c>
      <c r="I57" s="17">
        <f>F57*AO57</f>
        <v>0</v>
      </c>
      <c r="J57" s="17">
        <f>F57*G57</f>
        <v>0</v>
      </c>
      <c r="K57" s="17">
        <v>0.10442</v>
      </c>
      <c r="L57" s="17">
        <f>F57*K57</f>
        <v>5.826636</v>
      </c>
      <c r="Y57" s="31">
        <f>IF(AP57="5",BI57,0)</f>
        <v>0</v>
      </c>
      <c r="AA57" s="31">
        <f>IF(AP57="1",BG57,0)</f>
        <v>0</v>
      </c>
      <c r="AB57" s="31">
        <f>IF(AP57="1",BH57,0)</f>
        <v>0</v>
      </c>
      <c r="AC57" s="31">
        <f>IF(AP57="7",BG57,0)</f>
        <v>0</v>
      </c>
      <c r="AD57" s="31">
        <f>IF(AP57="7",BH57,0)</f>
        <v>0</v>
      </c>
      <c r="AE57" s="31">
        <f>IF(AP57="2",BG57,0)</f>
        <v>0</v>
      </c>
      <c r="AF57" s="31">
        <f>IF(AP57="2",BH57,0)</f>
        <v>0</v>
      </c>
      <c r="AG57" s="31">
        <f>IF(AP57="0",BI57,0)</f>
        <v>0</v>
      </c>
      <c r="AH57" s="26"/>
      <c r="AI57" s="17">
        <f>IF(AM57=0,J57,0)</f>
        <v>0</v>
      </c>
      <c r="AJ57" s="17">
        <f>IF(AM57=15,J57,0)</f>
        <v>0</v>
      </c>
      <c r="AK57" s="17">
        <f>IF(AM57=21,J57,0)</f>
        <v>0</v>
      </c>
      <c r="AM57" s="31">
        <v>21</v>
      </c>
      <c r="AN57" s="31">
        <f>G57*0.681423267326733</f>
        <v>0</v>
      </c>
      <c r="AO57" s="31">
        <f>G57*(1-0.681423267326733)</f>
        <v>0</v>
      </c>
      <c r="AP57" s="27" t="s">
        <v>7</v>
      </c>
      <c r="AU57" s="31">
        <f>AV57+AW57</f>
        <v>0</v>
      </c>
      <c r="AV57" s="31">
        <f>F57*AN57</f>
        <v>0</v>
      </c>
      <c r="AW57" s="31">
        <f>F57*AO57</f>
        <v>0</v>
      </c>
      <c r="AX57" s="32" t="s">
        <v>1163</v>
      </c>
      <c r="AY57" s="32" t="s">
        <v>1202</v>
      </c>
      <c r="AZ57" s="26" t="s">
        <v>1215</v>
      </c>
      <c r="BB57" s="31">
        <f>AV57+AW57</f>
        <v>0</v>
      </c>
      <c r="BC57" s="31">
        <f>G57/(100-BD57)*100</f>
        <v>0</v>
      </c>
      <c r="BD57" s="31">
        <v>0</v>
      </c>
      <c r="BE57" s="31">
        <f>L57</f>
        <v>5.826636</v>
      </c>
      <c r="BG57" s="17">
        <f>F57*AN57</f>
        <v>0</v>
      </c>
      <c r="BH57" s="17">
        <f>F57*AO57</f>
        <v>0</v>
      </c>
      <c r="BI57" s="17">
        <f>F57*G57</f>
        <v>0</v>
      </c>
    </row>
    <row r="58" spans="1:46" ht="12.75">
      <c r="A58" s="6"/>
      <c r="B58" s="13"/>
      <c r="C58" s="13" t="s">
        <v>47</v>
      </c>
      <c r="D58" s="73" t="s">
        <v>781</v>
      </c>
      <c r="E58" s="6" t="s">
        <v>6</v>
      </c>
      <c r="F58" s="6" t="s">
        <v>6</v>
      </c>
      <c r="G58" s="151" t="s">
        <v>6</v>
      </c>
      <c r="H58" s="34">
        <f>SUM(H59:H73)</f>
        <v>0</v>
      </c>
      <c r="I58" s="34">
        <f>SUM(I59:I73)</f>
        <v>0</v>
      </c>
      <c r="J58" s="34">
        <f>SUM(J59:J73)</f>
        <v>0</v>
      </c>
      <c r="K58" s="26"/>
      <c r="L58" s="34">
        <f>SUM(L59:L73)</f>
        <v>103.3153878435</v>
      </c>
      <c r="AH58" s="26"/>
      <c r="AR58" s="34">
        <f>SUM(AI59:AI73)</f>
        <v>0</v>
      </c>
      <c r="AS58" s="34">
        <f>SUM(AJ59:AJ73)</f>
        <v>0</v>
      </c>
      <c r="AT58" s="34">
        <f>SUM(AK59:AK73)</f>
        <v>0</v>
      </c>
    </row>
    <row r="59" spans="1:61" ht="12.75">
      <c r="A59" s="4" t="s">
        <v>43</v>
      </c>
      <c r="B59" s="4"/>
      <c r="C59" s="4" t="s">
        <v>412</v>
      </c>
      <c r="D59" s="71" t="s">
        <v>782</v>
      </c>
      <c r="E59" s="4" t="s">
        <v>1119</v>
      </c>
      <c r="F59" s="17">
        <v>20.35</v>
      </c>
      <c r="G59" s="148">
        <v>0</v>
      </c>
      <c r="H59" s="17">
        <f aca="true" t="shared" si="74" ref="H59:H73">F59*AN59</f>
        <v>0</v>
      </c>
      <c r="I59" s="17">
        <f aca="true" t="shared" si="75" ref="I59:I73">F59*AO59</f>
        <v>0</v>
      </c>
      <c r="J59" s="17">
        <f aca="true" t="shared" si="76" ref="J59:J73">F59*G59</f>
        <v>0</v>
      </c>
      <c r="K59" s="17">
        <v>2.52514</v>
      </c>
      <c r="L59" s="17">
        <f aca="true" t="shared" si="77" ref="L59:L73">F59*K59</f>
        <v>51.386599000000004</v>
      </c>
      <c r="Y59" s="31">
        <f aca="true" t="shared" si="78" ref="Y59:Y73">IF(AP59="5",BI59,0)</f>
        <v>0</v>
      </c>
      <c r="AA59" s="31">
        <f aca="true" t="shared" si="79" ref="AA59:AA73">IF(AP59="1",BG59,0)</f>
        <v>0</v>
      </c>
      <c r="AB59" s="31">
        <f aca="true" t="shared" si="80" ref="AB59:AB73">IF(AP59="1",BH59,0)</f>
        <v>0</v>
      </c>
      <c r="AC59" s="31">
        <f aca="true" t="shared" si="81" ref="AC59:AC73">IF(AP59="7",BG59,0)</f>
        <v>0</v>
      </c>
      <c r="AD59" s="31">
        <f aca="true" t="shared" si="82" ref="AD59:AD73">IF(AP59="7",BH59,0)</f>
        <v>0</v>
      </c>
      <c r="AE59" s="31">
        <f aca="true" t="shared" si="83" ref="AE59:AE73">IF(AP59="2",BG59,0)</f>
        <v>0</v>
      </c>
      <c r="AF59" s="31">
        <f aca="true" t="shared" si="84" ref="AF59:AF73">IF(AP59="2",BH59,0)</f>
        <v>0</v>
      </c>
      <c r="AG59" s="31">
        <f aca="true" t="shared" si="85" ref="AG59:AG73">IF(AP59="0",BI59,0)</f>
        <v>0</v>
      </c>
      <c r="AH59" s="26"/>
      <c r="AI59" s="17">
        <f aca="true" t="shared" si="86" ref="AI59:AI73">IF(AM59=0,J59,0)</f>
        <v>0</v>
      </c>
      <c r="AJ59" s="17">
        <f aca="true" t="shared" si="87" ref="AJ59:AJ73">IF(AM59=15,J59,0)</f>
        <v>0</v>
      </c>
      <c r="AK59" s="17">
        <f aca="true" t="shared" si="88" ref="AK59:AK73">IF(AM59=21,J59,0)</f>
        <v>0</v>
      </c>
      <c r="AM59" s="31">
        <v>21</v>
      </c>
      <c r="AN59" s="31">
        <f>G59*0.830791139240507</f>
        <v>0</v>
      </c>
      <c r="AO59" s="31">
        <f>G59*(1-0.830791139240507)</f>
        <v>0</v>
      </c>
      <c r="AP59" s="27" t="s">
        <v>7</v>
      </c>
      <c r="AU59" s="31">
        <f aca="true" t="shared" si="89" ref="AU59:AU73">AV59+AW59</f>
        <v>0</v>
      </c>
      <c r="AV59" s="31">
        <f aca="true" t="shared" si="90" ref="AV59:AV73">F59*AN59</f>
        <v>0</v>
      </c>
      <c r="AW59" s="31">
        <f aca="true" t="shared" si="91" ref="AW59:AW73">F59*AO59</f>
        <v>0</v>
      </c>
      <c r="AX59" s="32" t="s">
        <v>1164</v>
      </c>
      <c r="AY59" s="32" t="s">
        <v>1203</v>
      </c>
      <c r="AZ59" s="26" t="s">
        <v>1215</v>
      </c>
      <c r="BB59" s="31">
        <f aca="true" t="shared" si="92" ref="BB59:BB73">AV59+AW59</f>
        <v>0</v>
      </c>
      <c r="BC59" s="31">
        <f aca="true" t="shared" si="93" ref="BC59:BC73">G59/(100-BD59)*100</f>
        <v>0</v>
      </c>
      <c r="BD59" s="31">
        <v>0</v>
      </c>
      <c r="BE59" s="31">
        <f aca="true" t="shared" si="94" ref="BE59:BE73">L59</f>
        <v>51.386599000000004</v>
      </c>
      <c r="BG59" s="17">
        <f aca="true" t="shared" si="95" ref="BG59:BG73">F59*AN59</f>
        <v>0</v>
      </c>
      <c r="BH59" s="17">
        <f aca="true" t="shared" si="96" ref="BH59:BH73">F59*AO59</f>
        <v>0</v>
      </c>
      <c r="BI59" s="17">
        <f aca="true" t="shared" si="97" ref="BI59:BI73">F59*G59</f>
        <v>0</v>
      </c>
    </row>
    <row r="60" spans="1:61" ht="12.75">
      <c r="A60" s="4" t="s">
        <v>44</v>
      </c>
      <c r="B60" s="4"/>
      <c r="C60" s="4" t="s">
        <v>413</v>
      </c>
      <c r="D60" s="71" t="s">
        <v>783</v>
      </c>
      <c r="E60" s="4" t="s">
        <v>1121</v>
      </c>
      <c r="F60" s="17">
        <v>101.75</v>
      </c>
      <c r="G60" s="148">
        <v>0</v>
      </c>
      <c r="H60" s="17">
        <f t="shared" si="74"/>
        <v>0</v>
      </c>
      <c r="I60" s="17">
        <f t="shared" si="75"/>
        <v>0</v>
      </c>
      <c r="J60" s="17">
        <f t="shared" si="76"/>
        <v>0</v>
      </c>
      <c r="K60" s="17">
        <v>0.05969</v>
      </c>
      <c r="L60" s="17">
        <f t="shared" si="77"/>
        <v>6.0734575</v>
      </c>
      <c r="Y60" s="31">
        <f t="shared" si="78"/>
        <v>0</v>
      </c>
      <c r="AA60" s="31">
        <f t="shared" si="79"/>
        <v>0</v>
      </c>
      <c r="AB60" s="31">
        <f t="shared" si="80"/>
        <v>0</v>
      </c>
      <c r="AC60" s="31">
        <f t="shared" si="81"/>
        <v>0</v>
      </c>
      <c r="AD60" s="31">
        <f t="shared" si="82"/>
        <v>0</v>
      </c>
      <c r="AE60" s="31">
        <f t="shared" si="83"/>
        <v>0</v>
      </c>
      <c r="AF60" s="31">
        <f t="shared" si="84"/>
        <v>0</v>
      </c>
      <c r="AG60" s="31">
        <f t="shared" si="85"/>
        <v>0</v>
      </c>
      <c r="AH60" s="26"/>
      <c r="AI60" s="17">
        <f t="shared" si="86"/>
        <v>0</v>
      </c>
      <c r="AJ60" s="17">
        <f t="shared" si="87"/>
        <v>0</v>
      </c>
      <c r="AK60" s="17">
        <f t="shared" si="88"/>
        <v>0</v>
      </c>
      <c r="AM60" s="31">
        <v>21</v>
      </c>
      <c r="AN60" s="31">
        <f>G60*0.54032152635717</f>
        <v>0</v>
      </c>
      <c r="AO60" s="31">
        <f>G60*(1-0.54032152635717)</f>
        <v>0</v>
      </c>
      <c r="AP60" s="27" t="s">
        <v>7</v>
      </c>
      <c r="AU60" s="31">
        <f t="shared" si="89"/>
        <v>0</v>
      </c>
      <c r="AV60" s="31">
        <f t="shared" si="90"/>
        <v>0</v>
      </c>
      <c r="AW60" s="31">
        <f t="shared" si="91"/>
        <v>0</v>
      </c>
      <c r="AX60" s="32" t="s">
        <v>1164</v>
      </c>
      <c r="AY60" s="32" t="s">
        <v>1203</v>
      </c>
      <c r="AZ60" s="26" t="s">
        <v>1215</v>
      </c>
      <c r="BB60" s="31">
        <f t="shared" si="92"/>
        <v>0</v>
      </c>
      <c r="BC60" s="31">
        <f t="shared" si="93"/>
        <v>0</v>
      </c>
      <c r="BD60" s="31">
        <v>0</v>
      </c>
      <c r="BE60" s="31">
        <f t="shared" si="94"/>
        <v>6.0734575</v>
      </c>
      <c r="BG60" s="17">
        <f t="shared" si="95"/>
        <v>0</v>
      </c>
      <c r="BH60" s="17">
        <f t="shared" si="96"/>
        <v>0</v>
      </c>
      <c r="BI60" s="17">
        <f t="shared" si="97"/>
        <v>0</v>
      </c>
    </row>
    <row r="61" spans="1:61" ht="12.75">
      <c r="A61" s="4" t="s">
        <v>45</v>
      </c>
      <c r="B61" s="4"/>
      <c r="C61" s="4" t="s">
        <v>414</v>
      </c>
      <c r="D61" s="71" t="s">
        <v>784</v>
      </c>
      <c r="E61" s="4" t="s">
        <v>1121</v>
      </c>
      <c r="F61" s="17">
        <v>101.75</v>
      </c>
      <c r="G61" s="148">
        <v>0</v>
      </c>
      <c r="H61" s="17">
        <f t="shared" si="74"/>
        <v>0</v>
      </c>
      <c r="I61" s="17">
        <f t="shared" si="75"/>
        <v>0</v>
      </c>
      <c r="J61" s="17">
        <f t="shared" si="76"/>
        <v>0</v>
      </c>
      <c r="K61" s="17">
        <v>0</v>
      </c>
      <c r="L61" s="17">
        <f t="shared" si="77"/>
        <v>0</v>
      </c>
      <c r="Y61" s="31">
        <f t="shared" si="78"/>
        <v>0</v>
      </c>
      <c r="AA61" s="31">
        <f t="shared" si="79"/>
        <v>0</v>
      </c>
      <c r="AB61" s="31">
        <f t="shared" si="80"/>
        <v>0</v>
      </c>
      <c r="AC61" s="31">
        <f t="shared" si="81"/>
        <v>0</v>
      </c>
      <c r="AD61" s="31">
        <f t="shared" si="82"/>
        <v>0</v>
      </c>
      <c r="AE61" s="31">
        <f t="shared" si="83"/>
        <v>0</v>
      </c>
      <c r="AF61" s="31">
        <f t="shared" si="84"/>
        <v>0</v>
      </c>
      <c r="AG61" s="31">
        <f t="shared" si="85"/>
        <v>0</v>
      </c>
      <c r="AH61" s="26"/>
      <c r="AI61" s="17">
        <f t="shared" si="86"/>
        <v>0</v>
      </c>
      <c r="AJ61" s="17">
        <f t="shared" si="87"/>
        <v>0</v>
      </c>
      <c r="AK61" s="17">
        <f t="shared" si="88"/>
        <v>0</v>
      </c>
      <c r="AM61" s="31">
        <v>21</v>
      </c>
      <c r="AN61" s="31">
        <f>G61*0</f>
        <v>0</v>
      </c>
      <c r="AO61" s="31">
        <f>G61*(1-0)</f>
        <v>0</v>
      </c>
      <c r="AP61" s="27" t="s">
        <v>7</v>
      </c>
      <c r="AU61" s="31">
        <f t="shared" si="89"/>
        <v>0</v>
      </c>
      <c r="AV61" s="31">
        <f t="shared" si="90"/>
        <v>0</v>
      </c>
      <c r="AW61" s="31">
        <f t="shared" si="91"/>
        <v>0</v>
      </c>
      <c r="AX61" s="32" t="s">
        <v>1164</v>
      </c>
      <c r="AY61" s="32" t="s">
        <v>1203</v>
      </c>
      <c r="AZ61" s="26" t="s">
        <v>1215</v>
      </c>
      <c r="BB61" s="31">
        <f t="shared" si="92"/>
        <v>0</v>
      </c>
      <c r="BC61" s="31">
        <f t="shared" si="93"/>
        <v>0</v>
      </c>
      <c r="BD61" s="31">
        <v>0</v>
      </c>
      <c r="BE61" s="31">
        <f t="shared" si="94"/>
        <v>0</v>
      </c>
      <c r="BG61" s="17">
        <f t="shared" si="95"/>
        <v>0</v>
      </c>
      <c r="BH61" s="17">
        <f t="shared" si="96"/>
        <v>0</v>
      </c>
      <c r="BI61" s="17">
        <f t="shared" si="97"/>
        <v>0</v>
      </c>
    </row>
    <row r="62" spans="1:61" ht="12.75">
      <c r="A62" s="4" t="s">
        <v>46</v>
      </c>
      <c r="B62" s="4"/>
      <c r="C62" s="4" t="s">
        <v>415</v>
      </c>
      <c r="D62" s="71" t="s">
        <v>785</v>
      </c>
      <c r="E62" s="4" t="s">
        <v>1123</v>
      </c>
      <c r="F62" s="17">
        <v>13.5</v>
      </c>
      <c r="G62" s="148">
        <v>0</v>
      </c>
      <c r="H62" s="17">
        <f t="shared" si="74"/>
        <v>0</v>
      </c>
      <c r="I62" s="17">
        <f t="shared" si="75"/>
        <v>0</v>
      </c>
      <c r="J62" s="17">
        <f t="shared" si="76"/>
        <v>0</v>
      </c>
      <c r="K62" s="17">
        <v>0.03047</v>
      </c>
      <c r="L62" s="17">
        <f t="shared" si="77"/>
        <v>0.411345</v>
      </c>
      <c r="Y62" s="31">
        <f t="shared" si="78"/>
        <v>0</v>
      </c>
      <c r="AA62" s="31">
        <f t="shared" si="79"/>
        <v>0</v>
      </c>
      <c r="AB62" s="31">
        <f t="shared" si="80"/>
        <v>0</v>
      </c>
      <c r="AC62" s="31">
        <f t="shared" si="81"/>
        <v>0</v>
      </c>
      <c r="AD62" s="31">
        <f t="shared" si="82"/>
        <v>0</v>
      </c>
      <c r="AE62" s="31">
        <f t="shared" si="83"/>
        <v>0</v>
      </c>
      <c r="AF62" s="31">
        <f t="shared" si="84"/>
        <v>0</v>
      </c>
      <c r="AG62" s="31">
        <f t="shared" si="85"/>
        <v>0</v>
      </c>
      <c r="AH62" s="26"/>
      <c r="AI62" s="17">
        <f t="shared" si="86"/>
        <v>0</v>
      </c>
      <c r="AJ62" s="17">
        <f t="shared" si="87"/>
        <v>0</v>
      </c>
      <c r="AK62" s="17">
        <f t="shared" si="88"/>
        <v>0</v>
      </c>
      <c r="AM62" s="31">
        <v>21</v>
      </c>
      <c r="AN62" s="31">
        <f>G62*0.234629716895009</f>
        <v>0</v>
      </c>
      <c r="AO62" s="31">
        <f>G62*(1-0.234629716895009)</f>
        <v>0</v>
      </c>
      <c r="AP62" s="27" t="s">
        <v>7</v>
      </c>
      <c r="AU62" s="31">
        <f t="shared" si="89"/>
        <v>0</v>
      </c>
      <c r="AV62" s="31">
        <f t="shared" si="90"/>
        <v>0</v>
      </c>
      <c r="AW62" s="31">
        <f t="shared" si="91"/>
        <v>0</v>
      </c>
      <c r="AX62" s="32" t="s">
        <v>1164</v>
      </c>
      <c r="AY62" s="32" t="s">
        <v>1203</v>
      </c>
      <c r="AZ62" s="26" t="s">
        <v>1215</v>
      </c>
      <c r="BB62" s="31">
        <f t="shared" si="92"/>
        <v>0</v>
      </c>
      <c r="BC62" s="31">
        <f t="shared" si="93"/>
        <v>0</v>
      </c>
      <c r="BD62" s="31">
        <v>0</v>
      </c>
      <c r="BE62" s="31">
        <f t="shared" si="94"/>
        <v>0.411345</v>
      </c>
      <c r="BG62" s="17">
        <f t="shared" si="95"/>
        <v>0</v>
      </c>
      <c r="BH62" s="17">
        <f t="shared" si="96"/>
        <v>0</v>
      </c>
      <c r="BI62" s="17">
        <f t="shared" si="97"/>
        <v>0</v>
      </c>
    </row>
    <row r="63" spans="1:61" ht="12.75">
      <c r="A63" s="4" t="s">
        <v>47</v>
      </c>
      <c r="B63" s="4"/>
      <c r="C63" s="4" t="s">
        <v>416</v>
      </c>
      <c r="D63" s="71" t="s">
        <v>786</v>
      </c>
      <c r="E63" s="4" t="s">
        <v>1123</v>
      </c>
      <c r="F63" s="17">
        <v>13.5</v>
      </c>
      <c r="G63" s="148">
        <v>0</v>
      </c>
      <c r="H63" s="17">
        <f t="shared" si="74"/>
        <v>0</v>
      </c>
      <c r="I63" s="17">
        <f t="shared" si="75"/>
        <v>0</v>
      </c>
      <c r="J63" s="17">
        <f t="shared" si="76"/>
        <v>0</v>
      </c>
      <c r="K63" s="17">
        <v>0</v>
      </c>
      <c r="L63" s="17">
        <f t="shared" si="77"/>
        <v>0</v>
      </c>
      <c r="Y63" s="31">
        <f t="shared" si="78"/>
        <v>0</v>
      </c>
      <c r="AA63" s="31">
        <f t="shared" si="79"/>
        <v>0</v>
      </c>
      <c r="AB63" s="31">
        <f t="shared" si="80"/>
        <v>0</v>
      </c>
      <c r="AC63" s="31">
        <f t="shared" si="81"/>
        <v>0</v>
      </c>
      <c r="AD63" s="31">
        <f t="shared" si="82"/>
        <v>0</v>
      </c>
      <c r="AE63" s="31">
        <f t="shared" si="83"/>
        <v>0</v>
      </c>
      <c r="AF63" s="31">
        <f t="shared" si="84"/>
        <v>0</v>
      </c>
      <c r="AG63" s="31">
        <f t="shared" si="85"/>
        <v>0</v>
      </c>
      <c r="AH63" s="26"/>
      <c r="AI63" s="17">
        <f t="shared" si="86"/>
        <v>0</v>
      </c>
      <c r="AJ63" s="17">
        <f t="shared" si="87"/>
        <v>0</v>
      </c>
      <c r="AK63" s="17">
        <f t="shared" si="88"/>
        <v>0</v>
      </c>
      <c r="AM63" s="31">
        <v>21</v>
      </c>
      <c r="AN63" s="31">
        <f>G63*0</f>
        <v>0</v>
      </c>
      <c r="AO63" s="31">
        <f>G63*(1-0)</f>
        <v>0</v>
      </c>
      <c r="AP63" s="27" t="s">
        <v>7</v>
      </c>
      <c r="AU63" s="31">
        <f t="shared" si="89"/>
        <v>0</v>
      </c>
      <c r="AV63" s="31">
        <f t="shared" si="90"/>
        <v>0</v>
      </c>
      <c r="AW63" s="31">
        <f t="shared" si="91"/>
        <v>0</v>
      </c>
      <c r="AX63" s="32" t="s">
        <v>1164</v>
      </c>
      <c r="AY63" s="32" t="s">
        <v>1203</v>
      </c>
      <c r="AZ63" s="26" t="s">
        <v>1215</v>
      </c>
      <c r="BB63" s="31">
        <f t="shared" si="92"/>
        <v>0</v>
      </c>
      <c r="BC63" s="31">
        <f t="shared" si="93"/>
        <v>0</v>
      </c>
      <c r="BD63" s="31">
        <v>0</v>
      </c>
      <c r="BE63" s="31">
        <f t="shared" si="94"/>
        <v>0</v>
      </c>
      <c r="BG63" s="17">
        <f t="shared" si="95"/>
        <v>0</v>
      </c>
      <c r="BH63" s="17">
        <f t="shared" si="96"/>
        <v>0</v>
      </c>
      <c r="BI63" s="17">
        <f t="shared" si="97"/>
        <v>0</v>
      </c>
    </row>
    <row r="64" spans="1:61" ht="12.75">
      <c r="A64" s="4" t="s">
        <v>48</v>
      </c>
      <c r="B64" s="4"/>
      <c r="C64" s="4" t="s">
        <v>417</v>
      </c>
      <c r="D64" s="71" t="s">
        <v>787</v>
      </c>
      <c r="E64" s="4" t="s">
        <v>1121</v>
      </c>
      <c r="F64" s="17">
        <v>101.75</v>
      </c>
      <c r="G64" s="148">
        <v>0</v>
      </c>
      <c r="H64" s="17">
        <f t="shared" si="74"/>
        <v>0</v>
      </c>
      <c r="I64" s="17">
        <f t="shared" si="75"/>
        <v>0</v>
      </c>
      <c r="J64" s="17">
        <f t="shared" si="76"/>
        <v>0</v>
      </c>
      <c r="K64" s="17">
        <v>0.00754</v>
      </c>
      <c r="L64" s="17">
        <f t="shared" si="77"/>
        <v>0.767195</v>
      </c>
      <c r="Y64" s="31">
        <f t="shared" si="78"/>
        <v>0</v>
      </c>
      <c r="AA64" s="31">
        <f t="shared" si="79"/>
        <v>0</v>
      </c>
      <c r="AB64" s="31">
        <f t="shared" si="80"/>
        <v>0</v>
      </c>
      <c r="AC64" s="31">
        <f t="shared" si="81"/>
        <v>0</v>
      </c>
      <c r="AD64" s="31">
        <f t="shared" si="82"/>
        <v>0</v>
      </c>
      <c r="AE64" s="31">
        <f t="shared" si="83"/>
        <v>0</v>
      </c>
      <c r="AF64" s="31">
        <f t="shared" si="84"/>
        <v>0</v>
      </c>
      <c r="AG64" s="31">
        <f t="shared" si="85"/>
        <v>0</v>
      </c>
      <c r="AH64" s="26"/>
      <c r="AI64" s="17">
        <f t="shared" si="86"/>
        <v>0</v>
      </c>
      <c r="AJ64" s="17">
        <f t="shared" si="87"/>
        <v>0</v>
      </c>
      <c r="AK64" s="17">
        <f t="shared" si="88"/>
        <v>0</v>
      </c>
      <c r="AM64" s="31">
        <v>21</v>
      </c>
      <c r="AN64" s="31">
        <f>G64*0.18973293768546</f>
        <v>0</v>
      </c>
      <c r="AO64" s="31">
        <f>G64*(1-0.18973293768546)</f>
        <v>0</v>
      </c>
      <c r="AP64" s="27" t="s">
        <v>7</v>
      </c>
      <c r="AU64" s="31">
        <f t="shared" si="89"/>
        <v>0</v>
      </c>
      <c r="AV64" s="31">
        <f t="shared" si="90"/>
        <v>0</v>
      </c>
      <c r="AW64" s="31">
        <f t="shared" si="91"/>
        <v>0</v>
      </c>
      <c r="AX64" s="32" t="s">
        <v>1164</v>
      </c>
      <c r="AY64" s="32" t="s">
        <v>1203</v>
      </c>
      <c r="AZ64" s="26" t="s">
        <v>1215</v>
      </c>
      <c r="BB64" s="31">
        <f t="shared" si="92"/>
        <v>0</v>
      </c>
      <c r="BC64" s="31">
        <f t="shared" si="93"/>
        <v>0</v>
      </c>
      <c r="BD64" s="31">
        <v>0</v>
      </c>
      <c r="BE64" s="31">
        <f t="shared" si="94"/>
        <v>0.767195</v>
      </c>
      <c r="BG64" s="17">
        <f t="shared" si="95"/>
        <v>0</v>
      </c>
      <c r="BH64" s="17">
        <f t="shared" si="96"/>
        <v>0</v>
      </c>
      <c r="BI64" s="17">
        <f t="shared" si="97"/>
        <v>0</v>
      </c>
    </row>
    <row r="65" spans="1:61" ht="12.75">
      <c r="A65" s="4" t="s">
        <v>49</v>
      </c>
      <c r="B65" s="4"/>
      <c r="C65" s="4" t="s">
        <v>418</v>
      </c>
      <c r="D65" s="71" t="s">
        <v>788</v>
      </c>
      <c r="E65" s="4" t="s">
        <v>1121</v>
      </c>
      <c r="F65" s="17">
        <v>101.75</v>
      </c>
      <c r="G65" s="148">
        <v>0</v>
      </c>
      <c r="H65" s="17">
        <f t="shared" si="74"/>
        <v>0</v>
      </c>
      <c r="I65" s="17">
        <f t="shared" si="75"/>
        <v>0</v>
      </c>
      <c r="J65" s="17">
        <f t="shared" si="76"/>
        <v>0</v>
      </c>
      <c r="K65" s="17">
        <v>0</v>
      </c>
      <c r="L65" s="17">
        <f t="shared" si="77"/>
        <v>0</v>
      </c>
      <c r="Y65" s="31">
        <f t="shared" si="78"/>
        <v>0</v>
      </c>
      <c r="AA65" s="31">
        <f t="shared" si="79"/>
        <v>0</v>
      </c>
      <c r="AB65" s="31">
        <f t="shared" si="80"/>
        <v>0</v>
      </c>
      <c r="AC65" s="31">
        <f t="shared" si="81"/>
        <v>0</v>
      </c>
      <c r="AD65" s="31">
        <f t="shared" si="82"/>
        <v>0</v>
      </c>
      <c r="AE65" s="31">
        <f t="shared" si="83"/>
        <v>0</v>
      </c>
      <c r="AF65" s="31">
        <f t="shared" si="84"/>
        <v>0</v>
      </c>
      <c r="AG65" s="31">
        <f t="shared" si="85"/>
        <v>0</v>
      </c>
      <c r="AH65" s="26"/>
      <c r="AI65" s="17">
        <f t="shared" si="86"/>
        <v>0</v>
      </c>
      <c r="AJ65" s="17">
        <f t="shared" si="87"/>
        <v>0</v>
      </c>
      <c r="AK65" s="17">
        <f t="shared" si="88"/>
        <v>0</v>
      </c>
      <c r="AM65" s="31">
        <v>21</v>
      </c>
      <c r="AN65" s="31">
        <f>G65*0</f>
        <v>0</v>
      </c>
      <c r="AO65" s="31">
        <f>G65*(1-0)</f>
        <v>0</v>
      </c>
      <c r="AP65" s="27" t="s">
        <v>7</v>
      </c>
      <c r="AU65" s="31">
        <f t="shared" si="89"/>
        <v>0</v>
      </c>
      <c r="AV65" s="31">
        <f t="shared" si="90"/>
        <v>0</v>
      </c>
      <c r="AW65" s="31">
        <f t="shared" si="91"/>
        <v>0</v>
      </c>
      <c r="AX65" s="32" t="s">
        <v>1164</v>
      </c>
      <c r="AY65" s="32" t="s">
        <v>1203</v>
      </c>
      <c r="AZ65" s="26" t="s">
        <v>1215</v>
      </c>
      <c r="BB65" s="31">
        <f t="shared" si="92"/>
        <v>0</v>
      </c>
      <c r="BC65" s="31">
        <f t="shared" si="93"/>
        <v>0</v>
      </c>
      <c r="BD65" s="31">
        <v>0</v>
      </c>
      <c r="BE65" s="31">
        <f t="shared" si="94"/>
        <v>0</v>
      </c>
      <c r="BG65" s="17">
        <f t="shared" si="95"/>
        <v>0</v>
      </c>
      <c r="BH65" s="17">
        <f t="shared" si="96"/>
        <v>0</v>
      </c>
      <c r="BI65" s="17">
        <f t="shared" si="97"/>
        <v>0</v>
      </c>
    </row>
    <row r="66" spans="1:61" ht="12.75">
      <c r="A66" s="4" t="s">
        <v>50</v>
      </c>
      <c r="B66" s="4"/>
      <c r="C66" s="4" t="s">
        <v>419</v>
      </c>
      <c r="D66" s="71" t="s">
        <v>789</v>
      </c>
      <c r="E66" s="4" t="s">
        <v>1122</v>
      </c>
      <c r="F66" s="17">
        <v>2.9304</v>
      </c>
      <c r="G66" s="148">
        <v>0</v>
      </c>
      <c r="H66" s="17">
        <f t="shared" si="74"/>
        <v>0</v>
      </c>
      <c r="I66" s="17">
        <f t="shared" si="75"/>
        <v>0</v>
      </c>
      <c r="J66" s="17">
        <f t="shared" si="76"/>
        <v>0</v>
      </c>
      <c r="K66" s="17">
        <v>1.02139</v>
      </c>
      <c r="L66" s="17">
        <f t="shared" si="77"/>
        <v>2.993081256</v>
      </c>
      <c r="Y66" s="31">
        <f t="shared" si="78"/>
        <v>0</v>
      </c>
      <c r="AA66" s="31">
        <f t="shared" si="79"/>
        <v>0</v>
      </c>
      <c r="AB66" s="31">
        <f t="shared" si="80"/>
        <v>0</v>
      </c>
      <c r="AC66" s="31">
        <f t="shared" si="81"/>
        <v>0</v>
      </c>
      <c r="AD66" s="31">
        <f t="shared" si="82"/>
        <v>0</v>
      </c>
      <c r="AE66" s="31">
        <f t="shared" si="83"/>
        <v>0</v>
      </c>
      <c r="AF66" s="31">
        <f t="shared" si="84"/>
        <v>0</v>
      </c>
      <c r="AG66" s="31">
        <f t="shared" si="85"/>
        <v>0</v>
      </c>
      <c r="AH66" s="26"/>
      <c r="AI66" s="17">
        <f t="shared" si="86"/>
        <v>0</v>
      </c>
      <c r="AJ66" s="17">
        <f t="shared" si="87"/>
        <v>0</v>
      </c>
      <c r="AK66" s="17">
        <f t="shared" si="88"/>
        <v>0</v>
      </c>
      <c r="AM66" s="31">
        <v>21</v>
      </c>
      <c r="AN66" s="31">
        <f>G66*0.658718327571756</f>
        <v>0</v>
      </c>
      <c r="AO66" s="31">
        <f>G66*(1-0.658718327571756)</f>
        <v>0</v>
      </c>
      <c r="AP66" s="27" t="s">
        <v>7</v>
      </c>
      <c r="AU66" s="31">
        <f t="shared" si="89"/>
        <v>0</v>
      </c>
      <c r="AV66" s="31">
        <f t="shared" si="90"/>
        <v>0</v>
      </c>
      <c r="AW66" s="31">
        <f t="shared" si="91"/>
        <v>0</v>
      </c>
      <c r="AX66" s="32" t="s">
        <v>1164</v>
      </c>
      <c r="AY66" s="32" t="s">
        <v>1203</v>
      </c>
      <c r="AZ66" s="26" t="s">
        <v>1215</v>
      </c>
      <c r="BB66" s="31">
        <f t="shared" si="92"/>
        <v>0</v>
      </c>
      <c r="BC66" s="31">
        <f t="shared" si="93"/>
        <v>0</v>
      </c>
      <c r="BD66" s="31">
        <v>0</v>
      </c>
      <c r="BE66" s="31">
        <f t="shared" si="94"/>
        <v>2.993081256</v>
      </c>
      <c r="BG66" s="17">
        <f t="shared" si="95"/>
        <v>0</v>
      </c>
      <c r="BH66" s="17">
        <f t="shared" si="96"/>
        <v>0</v>
      </c>
      <c r="BI66" s="17">
        <f t="shared" si="97"/>
        <v>0</v>
      </c>
    </row>
    <row r="67" spans="1:61" ht="12.75">
      <c r="A67" s="4" t="s">
        <v>51</v>
      </c>
      <c r="B67" s="4"/>
      <c r="C67" s="4" t="s">
        <v>420</v>
      </c>
      <c r="D67" s="71" t="s">
        <v>1303</v>
      </c>
      <c r="E67" s="4" t="s">
        <v>1123</v>
      </c>
      <c r="F67" s="17">
        <v>127.7</v>
      </c>
      <c r="G67" s="148">
        <v>0</v>
      </c>
      <c r="H67" s="17">
        <f t="shared" si="74"/>
        <v>0</v>
      </c>
      <c r="I67" s="17">
        <f t="shared" si="75"/>
        <v>0</v>
      </c>
      <c r="J67" s="17">
        <f t="shared" si="76"/>
        <v>0</v>
      </c>
      <c r="K67" s="17">
        <v>0.01787</v>
      </c>
      <c r="L67" s="17">
        <f t="shared" si="77"/>
        <v>2.281999</v>
      </c>
      <c r="Y67" s="31">
        <f t="shared" si="78"/>
        <v>0</v>
      </c>
      <c r="AA67" s="31">
        <f t="shared" si="79"/>
        <v>0</v>
      </c>
      <c r="AB67" s="31">
        <f t="shared" si="80"/>
        <v>0</v>
      </c>
      <c r="AC67" s="31">
        <f t="shared" si="81"/>
        <v>0</v>
      </c>
      <c r="AD67" s="31">
        <f t="shared" si="82"/>
        <v>0</v>
      </c>
      <c r="AE67" s="31">
        <f t="shared" si="83"/>
        <v>0</v>
      </c>
      <c r="AF67" s="31">
        <f t="shared" si="84"/>
        <v>0</v>
      </c>
      <c r="AG67" s="31">
        <f t="shared" si="85"/>
        <v>0</v>
      </c>
      <c r="AH67" s="26"/>
      <c r="AI67" s="17">
        <f t="shared" si="86"/>
        <v>0</v>
      </c>
      <c r="AJ67" s="17">
        <f t="shared" si="87"/>
        <v>0</v>
      </c>
      <c r="AK67" s="17">
        <f t="shared" si="88"/>
        <v>0</v>
      </c>
      <c r="AM67" s="31">
        <v>21</v>
      </c>
      <c r="AN67" s="31">
        <f>G67*0.682121640735502</f>
        <v>0</v>
      </c>
      <c r="AO67" s="31">
        <f>G67*(1-0.682121640735502)</f>
        <v>0</v>
      </c>
      <c r="AP67" s="27" t="s">
        <v>7</v>
      </c>
      <c r="AU67" s="31">
        <f t="shared" si="89"/>
        <v>0</v>
      </c>
      <c r="AV67" s="31">
        <f t="shared" si="90"/>
        <v>0</v>
      </c>
      <c r="AW67" s="31">
        <f t="shared" si="91"/>
        <v>0</v>
      </c>
      <c r="AX67" s="32" t="s">
        <v>1164</v>
      </c>
      <c r="AY67" s="32" t="s">
        <v>1203</v>
      </c>
      <c r="AZ67" s="26" t="s">
        <v>1215</v>
      </c>
      <c r="BB67" s="31">
        <f t="shared" si="92"/>
        <v>0</v>
      </c>
      <c r="BC67" s="31">
        <f t="shared" si="93"/>
        <v>0</v>
      </c>
      <c r="BD67" s="31">
        <v>0</v>
      </c>
      <c r="BE67" s="31">
        <f t="shared" si="94"/>
        <v>2.281999</v>
      </c>
      <c r="BG67" s="17">
        <f t="shared" si="95"/>
        <v>0</v>
      </c>
      <c r="BH67" s="17">
        <f t="shared" si="96"/>
        <v>0</v>
      </c>
      <c r="BI67" s="17">
        <f t="shared" si="97"/>
        <v>0</v>
      </c>
    </row>
    <row r="68" spans="1:61" ht="12.75">
      <c r="A68" s="4" t="s">
        <v>52</v>
      </c>
      <c r="B68" s="4"/>
      <c r="C68" s="4" t="s">
        <v>421</v>
      </c>
      <c r="D68" s="71" t="s">
        <v>790</v>
      </c>
      <c r="E68" s="4" t="s">
        <v>1119</v>
      </c>
      <c r="F68" s="17">
        <v>13.13375</v>
      </c>
      <c r="G68" s="148">
        <v>0</v>
      </c>
      <c r="H68" s="17">
        <f t="shared" si="74"/>
        <v>0</v>
      </c>
      <c r="I68" s="17">
        <f t="shared" si="75"/>
        <v>0</v>
      </c>
      <c r="J68" s="17">
        <f t="shared" si="76"/>
        <v>0</v>
      </c>
      <c r="K68" s="17">
        <v>2.52511</v>
      </c>
      <c r="L68" s="17">
        <f t="shared" si="77"/>
        <v>33.1641634625</v>
      </c>
      <c r="Y68" s="31">
        <f t="shared" si="78"/>
        <v>0</v>
      </c>
      <c r="AA68" s="31">
        <f t="shared" si="79"/>
        <v>0</v>
      </c>
      <c r="AB68" s="31">
        <f t="shared" si="80"/>
        <v>0</v>
      </c>
      <c r="AC68" s="31">
        <f t="shared" si="81"/>
        <v>0</v>
      </c>
      <c r="AD68" s="31">
        <f t="shared" si="82"/>
        <v>0</v>
      </c>
      <c r="AE68" s="31">
        <f t="shared" si="83"/>
        <v>0</v>
      </c>
      <c r="AF68" s="31">
        <f t="shared" si="84"/>
        <v>0</v>
      </c>
      <c r="AG68" s="31">
        <f t="shared" si="85"/>
        <v>0</v>
      </c>
      <c r="AH68" s="26"/>
      <c r="AI68" s="17">
        <f t="shared" si="86"/>
        <v>0</v>
      </c>
      <c r="AJ68" s="17">
        <f t="shared" si="87"/>
        <v>0</v>
      </c>
      <c r="AK68" s="17">
        <f t="shared" si="88"/>
        <v>0</v>
      </c>
      <c r="AM68" s="31">
        <v>21</v>
      </c>
      <c r="AN68" s="31">
        <f>G68*0.809233995733399</f>
        <v>0</v>
      </c>
      <c r="AO68" s="31">
        <f>G68*(1-0.809233995733399)</f>
        <v>0</v>
      </c>
      <c r="AP68" s="27" t="s">
        <v>7</v>
      </c>
      <c r="AU68" s="31">
        <f t="shared" si="89"/>
        <v>0</v>
      </c>
      <c r="AV68" s="31">
        <f t="shared" si="90"/>
        <v>0</v>
      </c>
      <c r="AW68" s="31">
        <f t="shared" si="91"/>
        <v>0</v>
      </c>
      <c r="AX68" s="32" t="s">
        <v>1164</v>
      </c>
      <c r="AY68" s="32" t="s">
        <v>1203</v>
      </c>
      <c r="AZ68" s="26" t="s">
        <v>1215</v>
      </c>
      <c r="BB68" s="31">
        <f t="shared" si="92"/>
        <v>0</v>
      </c>
      <c r="BC68" s="31">
        <f t="shared" si="93"/>
        <v>0</v>
      </c>
      <c r="BD68" s="31">
        <v>0</v>
      </c>
      <c r="BE68" s="31">
        <f t="shared" si="94"/>
        <v>33.1641634625</v>
      </c>
      <c r="BG68" s="17">
        <f t="shared" si="95"/>
        <v>0</v>
      </c>
      <c r="BH68" s="17">
        <f t="shared" si="96"/>
        <v>0</v>
      </c>
      <c r="BI68" s="17">
        <f t="shared" si="97"/>
        <v>0</v>
      </c>
    </row>
    <row r="69" spans="1:61" ht="12.75">
      <c r="A69" s="4" t="s">
        <v>53</v>
      </c>
      <c r="B69" s="4"/>
      <c r="C69" s="4" t="s">
        <v>422</v>
      </c>
      <c r="D69" s="71" t="s">
        <v>791</v>
      </c>
      <c r="E69" s="4" t="s">
        <v>1121</v>
      </c>
      <c r="F69" s="17">
        <v>37.525</v>
      </c>
      <c r="G69" s="148">
        <v>0</v>
      </c>
      <c r="H69" s="17">
        <f t="shared" si="74"/>
        <v>0</v>
      </c>
      <c r="I69" s="17">
        <f t="shared" si="75"/>
        <v>0</v>
      </c>
      <c r="J69" s="17">
        <f t="shared" si="76"/>
        <v>0</v>
      </c>
      <c r="K69" s="17">
        <v>0.00782</v>
      </c>
      <c r="L69" s="17">
        <f t="shared" si="77"/>
        <v>0.2934455</v>
      </c>
      <c r="Y69" s="31">
        <f t="shared" si="78"/>
        <v>0</v>
      </c>
      <c r="AA69" s="31">
        <f t="shared" si="79"/>
        <v>0</v>
      </c>
      <c r="AB69" s="31">
        <f t="shared" si="80"/>
        <v>0</v>
      </c>
      <c r="AC69" s="31">
        <f t="shared" si="81"/>
        <v>0</v>
      </c>
      <c r="AD69" s="31">
        <f t="shared" si="82"/>
        <v>0</v>
      </c>
      <c r="AE69" s="31">
        <f t="shared" si="83"/>
        <v>0</v>
      </c>
      <c r="AF69" s="31">
        <f t="shared" si="84"/>
        <v>0</v>
      </c>
      <c r="AG69" s="31">
        <f t="shared" si="85"/>
        <v>0</v>
      </c>
      <c r="AH69" s="26"/>
      <c r="AI69" s="17">
        <f t="shared" si="86"/>
        <v>0</v>
      </c>
      <c r="AJ69" s="17">
        <f t="shared" si="87"/>
        <v>0</v>
      </c>
      <c r="AK69" s="17">
        <f t="shared" si="88"/>
        <v>0</v>
      </c>
      <c r="AM69" s="31">
        <v>21</v>
      </c>
      <c r="AN69" s="31">
        <f>G69*0.229884179618953</f>
        <v>0</v>
      </c>
      <c r="AO69" s="31">
        <f>G69*(1-0.229884179618953)</f>
        <v>0</v>
      </c>
      <c r="AP69" s="27" t="s">
        <v>7</v>
      </c>
      <c r="AU69" s="31">
        <f t="shared" si="89"/>
        <v>0</v>
      </c>
      <c r="AV69" s="31">
        <f t="shared" si="90"/>
        <v>0</v>
      </c>
      <c r="AW69" s="31">
        <f t="shared" si="91"/>
        <v>0</v>
      </c>
      <c r="AX69" s="32" t="s">
        <v>1164</v>
      </c>
      <c r="AY69" s="32" t="s">
        <v>1203</v>
      </c>
      <c r="AZ69" s="26" t="s">
        <v>1215</v>
      </c>
      <c r="BB69" s="31">
        <f t="shared" si="92"/>
        <v>0</v>
      </c>
      <c r="BC69" s="31">
        <f t="shared" si="93"/>
        <v>0</v>
      </c>
      <c r="BD69" s="31">
        <v>0</v>
      </c>
      <c r="BE69" s="31">
        <f t="shared" si="94"/>
        <v>0.2934455</v>
      </c>
      <c r="BG69" s="17">
        <f t="shared" si="95"/>
        <v>0</v>
      </c>
      <c r="BH69" s="17">
        <f t="shared" si="96"/>
        <v>0</v>
      </c>
      <c r="BI69" s="17">
        <f t="shared" si="97"/>
        <v>0</v>
      </c>
    </row>
    <row r="70" spans="1:61" ht="12.75">
      <c r="A70" s="4" t="s">
        <v>54</v>
      </c>
      <c r="B70" s="4"/>
      <c r="C70" s="4" t="s">
        <v>423</v>
      </c>
      <c r="D70" s="71" t="s">
        <v>792</v>
      </c>
      <c r="E70" s="4" t="s">
        <v>1121</v>
      </c>
      <c r="F70" s="17">
        <v>37.52</v>
      </c>
      <c r="G70" s="148">
        <v>0</v>
      </c>
      <c r="H70" s="17">
        <f t="shared" si="74"/>
        <v>0</v>
      </c>
      <c r="I70" s="17">
        <f t="shared" si="75"/>
        <v>0</v>
      </c>
      <c r="J70" s="17">
        <f t="shared" si="76"/>
        <v>0</v>
      </c>
      <c r="K70" s="17">
        <v>0</v>
      </c>
      <c r="L70" s="17">
        <f t="shared" si="77"/>
        <v>0</v>
      </c>
      <c r="Y70" s="31">
        <f t="shared" si="78"/>
        <v>0</v>
      </c>
      <c r="AA70" s="31">
        <f t="shared" si="79"/>
        <v>0</v>
      </c>
      <c r="AB70" s="31">
        <f t="shared" si="80"/>
        <v>0</v>
      </c>
      <c r="AC70" s="31">
        <f t="shared" si="81"/>
        <v>0</v>
      </c>
      <c r="AD70" s="31">
        <f t="shared" si="82"/>
        <v>0</v>
      </c>
      <c r="AE70" s="31">
        <f t="shared" si="83"/>
        <v>0</v>
      </c>
      <c r="AF70" s="31">
        <f t="shared" si="84"/>
        <v>0</v>
      </c>
      <c r="AG70" s="31">
        <f t="shared" si="85"/>
        <v>0</v>
      </c>
      <c r="AH70" s="26"/>
      <c r="AI70" s="17">
        <f t="shared" si="86"/>
        <v>0</v>
      </c>
      <c r="AJ70" s="17">
        <f t="shared" si="87"/>
        <v>0</v>
      </c>
      <c r="AK70" s="17">
        <f t="shared" si="88"/>
        <v>0</v>
      </c>
      <c r="AM70" s="31">
        <v>21</v>
      </c>
      <c r="AN70" s="31">
        <f>G70*0</f>
        <v>0</v>
      </c>
      <c r="AO70" s="31">
        <f>G70*(1-0)</f>
        <v>0</v>
      </c>
      <c r="AP70" s="27" t="s">
        <v>7</v>
      </c>
      <c r="AU70" s="31">
        <f t="shared" si="89"/>
        <v>0</v>
      </c>
      <c r="AV70" s="31">
        <f t="shared" si="90"/>
        <v>0</v>
      </c>
      <c r="AW70" s="31">
        <f t="shared" si="91"/>
        <v>0</v>
      </c>
      <c r="AX70" s="32" t="s">
        <v>1164</v>
      </c>
      <c r="AY70" s="32" t="s">
        <v>1203</v>
      </c>
      <c r="AZ70" s="26" t="s">
        <v>1215</v>
      </c>
      <c r="BB70" s="31">
        <f t="shared" si="92"/>
        <v>0</v>
      </c>
      <c r="BC70" s="31">
        <f t="shared" si="93"/>
        <v>0</v>
      </c>
      <c r="BD70" s="31">
        <v>0</v>
      </c>
      <c r="BE70" s="31">
        <f t="shared" si="94"/>
        <v>0</v>
      </c>
      <c r="BG70" s="17">
        <f t="shared" si="95"/>
        <v>0</v>
      </c>
      <c r="BH70" s="17">
        <f t="shared" si="96"/>
        <v>0</v>
      </c>
      <c r="BI70" s="17">
        <f t="shared" si="97"/>
        <v>0</v>
      </c>
    </row>
    <row r="71" spans="1:61" ht="12.75">
      <c r="A71" s="4" t="s">
        <v>55</v>
      </c>
      <c r="B71" s="4"/>
      <c r="C71" s="4" t="s">
        <v>424</v>
      </c>
      <c r="D71" s="71" t="s">
        <v>793</v>
      </c>
      <c r="E71" s="4" t="s">
        <v>1122</v>
      </c>
      <c r="F71" s="17">
        <v>1.9695</v>
      </c>
      <c r="G71" s="148">
        <v>0</v>
      </c>
      <c r="H71" s="17">
        <f t="shared" si="74"/>
        <v>0</v>
      </c>
      <c r="I71" s="17">
        <f t="shared" si="75"/>
        <v>0</v>
      </c>
      <c r="J71" s="17">
        <f t="shared" si="76"/>
        <v>0</v>
      </c>
      <c r="K71" s="17">
        <v>1.01665</v>
      </c>
      <c r="L71" s="17">
        <f t="shared" si="77"/>
        <v>2.002292175</v>
      </c>
      <c r="Y71" s="31">
        <f t="shared" si="78"/>
        <v>0</v>
      </c>
      <c r="AA71" s="31">
        <f t="shared" si="79"/>
        <v>0</v>
      </c>
      <c r="AB71" s="31">
        <f t="shared" si="80"/>
        <v>0</v>
      </c>
      <c r="AC71" s="31">
        <f t="shared" si="81"/>
        <v>0</v>
      </c>
      <c r="AD71" s="31">
        <f t="shared" si="82"/>
        <v>0</v>
      </c>
      <c r="AE71" s="31">
        <f t="shared" si="83"/>
        <v>0</v>
      </c>
      <c r="AF71" s="31">
        <f t="shared" si="84"/>
        <v>0</v>
      </c>
      <c r="AG71" s="31">
        <f t="shared" si="85"/>
        <v>0</v>
      </c>
      <c r="AH71" s="26"/>
      <c r="AI71" s="17">
        <f t="shared" si="86"/>
        <v>0</v>
      </c>
      <c r="AJ71" s="17">
        <f t="shared" si="87"/>
        <v>0</v>
      </c>
      <c r="AK71" s="17">
        <f t="shared" si="88"/>
        <v>0</v>
      </c>
      <c r="AM71" s="31">
        <v>21</v>
      </c>
      <c r="AN71" s="31">
        <f>G71*0.659032035485461</f>
        <v>0</v>
      </c>
      <c r="AO71" s="31">
        <f>G71*(1-0.659032035485461)</f>
        <v>0</v>
      </c>
      <c r="AP71" s="27" t="s">
        <v>7</v>
      </c>
      <c r="AU71" s="31">
        <f t="shared" si="89"/>
        <v>0</v>
      </c>
      <c r="AV71" s="31">
        <f t="shared" si="90"/>
        <v>0</v>
      </c>
      <c r="AW71" s="31">
        <f t="shared" si="91"/>
        <v>0</v>
      </c>
      <c r="AX71" s="32" t="s">
        <v>1164</v>
      </c>
      <c r="AY71" s="32" t="s">
        <v>1203</v>
      </c>
      <c r="AZ71" s="26" t="s">
        <v>1215</v>
      </c>
      <c r="BB71" s="31">
        <f t="shared" si="92"/>
        <v>0</v>
      </c>
      <c r="BC71" s="31">
        <f t="shared" si="93"/>
        <v>0</v>
      </c>
      <c r="BD71" s="31">
        <v>0</v>
      </c>
      <c r="BE71" s="31">
        <f t="shared" si="94"/>
        <v>2.002292175</v>
      </c>
      <c r="BG71" s="17">
        <f t="shared" si="95"/>
        <v>0</v>
      </c>
      <c r="BH71" s="17">
        <f t="shared" si="96"/>
        <v>0</v>
      </c>
      <c r="BI71" s="17">
        <f t="shared" si="97"/>
        <v>0</v>
      </c>
    </row>
    <row r="72" spans="1:61" ht="12.75">
      <c r="A72" s="4" t="s">
        <v>56</v>
      </c>
      <c r="B72" s="4"/>
      <c r="C72" s="4" t="s">
        <v>425</v>
      </c>
      <c r="D72" s="71" t="s">
        <v>794</v>
      </c>
      <c r="E72" s="4" t="s">
        <v>1121</v>
      </c>
      <c r="F72" s="17">
        <v>179.6925</v>
      </c>
      <c r="G72" s="148">
        <v>0</v>
      </c>
      <c r="H72" s="17">
        <f t="shared" si="74"/>
        <v>0</v>
      </c>
      <c r="I72" s="17">
        <f t="shared" si="75"/>
        <v>0</v>
      </c>
      <c r="J72" s="17">
        <f t="shared" si="76"/>
        <v>0</v>
      </c>
      <c r="K72" s="17">
        <v>0.01846</v>
      </c>
      <c r="L72" s="17">
        <f t="shared" si="77"/>
        <v>3.3171235500000003</v>
      </c>
      <c r="Y72" s="31">
        <f t="shared" si="78"/>
        <v>0</v>
      </c>
      <c r="AA72" s="31">
        <f t="shared" si="79"/>
        <v>0</v>
      </c>
      <c r="AB72" s="31">
        <f t="shared" si="80"/>
        <v>0</v>
      </c>
      <c r="AC72" s="31">
        <f t="shared" si="81"/>
        <v>0</v>
      </c>
      <c r="AD72" s="31">
        <f t="shared" si="82"/>
        <v>0</v>
      </c>
      <c r="AE72" s="31">
        <f t="shared" si="83"/>
        <v>0</v>
      </c>
      <c r="AF72" s="31">
        <f t="shared" si="84"/>
        <v>0</v>
      </c>
      <c r="AG72" s="31">
        <f t="shared" si="85"/>
        <v>0</v>
      </c>
      <c r="AH72" s="26"/>
      <c r="AI72" s="17">
        <f t="shared" si="86"/>
        <v>0</v>
      </c>
      <c r="AJ72" s="17">
        <f t="shared" si="87"/>
        <v>0</v>
      </c>
      <c r="AK72" s="17">
        <f t="shared" si="88"/>
        <v>0</v>
      </c>
      <c r="AM72" s="31">
        <v>21</v>
      </c>
      <c r="AN72" s="31">
        <f>G72*0.436375253579661</f>
        <v>0</v>
      </c>
      <c r="AO72" s="31">
        <f>G72*(1-0.436375253579661)</f>
        <v>0</v>
      </c>
      <c r="AP72" s="27" t="s">
        <v>7</v>
      </c>
      <c r="AU72" s="31">
        <f t="shared" si="89"/>
        <v>0</v>
      </c>
      <c r="AV72" s="31">
        <f t="shared" si="90"/>
        <v>0</v>
      </c>
      <c r="AW72" s="31">
        <f t="shared" si="91"/>
        <v>0</v>
      </c>
      <c r="AX72" s="32" t="s">
        <v>1164</v>
      </c>
      <c r="AY72" s="32" t="s">
        <v>1203</v>
      </c>
      <c r="AZ72" s="26" t="s">
        <v>1215</v>
      </c>
      <c r="BB72" s="31">
        <f t="shared" si="92"/>
        <v>0</v>
      </c>
      <c r="BC72" s="31">
        <f t="shared" si="93"/>
        <v>0</v>
      </c>
      <c r="BD72" s="31">
        <v>0</v>
      </c>
      <c r="BE72" s="31">
        <f t="shared" si="94"/>
        <v>3.3171235500000003</v>
      </c>
      <c r="BG72" s="17">
        <f t="shared" si="95"/>
        <v>0</v>
      </c>
      <c r="BH72" s="17">
        <f t="shared" si="96"/>
        <v>0</v>
      </c>
      <c r="BI72" s="17">
        <f t="shared" si="97"/>
        <v>0</v>
      </c>
    </row>
    <row r="73" spans="1:61" ht="12.75">
      <c r="A73" s="4" t="s">
        <v>57</v>
      </c>
      <c r="B73" s="4"/>
      <c r="C73" s="4" t="s">
        <v>425</v>
      </c>
      <c r="D73" s="71" t="s">
        <v>794</v>
      </c>
      <c r="E73" s="4" t="s">
        <v>1121</v>
      </c>
      <c r="F73" s="17">
        <v>33.84</v>
      </c>
      <c r="G73" s="148">
        <v>0</v>
      </c>
      <c r="H73" s="17">
        <f t="shared" si="74"/>
        <v>0</v>
      </c>
      <c r="I73" s="17">
        <f t="shared" si="75"/>
        <v>0</v>
      </c>
      <c r="J73" s="17">
        <f t="shared" si="76"/>
        <v>0</v>
      </c>
      <c r="K73" s="17">
        <v>0.01846</v>
      </c>
      <c r="L73" s="17">
        <f t="shared" si="77"/>
        <v>0.6246864000000001</v>
      </c>
      <c r="Y73" s="31">
        <f t="shared" si="78"/>
        <v>0</v>
      </c>
      <c r="AA73" s="31">
        <f t="shared" si="79"/>
        <v>0</v>
      </c>
      <c r="AB73" s="31">
        <f t="shared" si="80"/>
        <v>0</v>
      </c>
      <c r="AC73" s="31">
        <f t="shared" si="81"/>
        <v>0</v>
      </c>
      <c r="AD73" s="31">
        <f t="shared" si="82"/>
        <v>0</v>
      </c>
      <c r="AE73" s="31">
        <f t="shared" si="83"/>
        <v>0</v>
      </c>
      <c r="AF73" s="31">
        <f t="shared" si="84"/>
        <v>0</v>
      </c>
      <c r="AG73" s="31">
        <f t="shared" si="85"/>
        <v>0</v>
      </c>
      <c r="AH73" s="26"/>
      <c r="AI73" s="17">
        <f t="shared" si="86"/>
        <v>0</v>
      </c>
      <c r="AJ73" s="17">
        <f t="shared" si="87"/>
        <v>0</v>
      </c>
      <c r="AK73" s="17">
        <f t="shared" si="88"/>
        <v>0</v>
      </c>
      <c r="AM73" s="31">
        <v>21</v>
      </c>
      <c r="AN73" s="31">
        <f>G73*0.43637526652452</f>
        <v>0</v>
      </c>
      <c r="AO73" s="31">
        <f>G73*(1-0.43637526652452)</f>
        <v>0</v>
      </c>
      <c r="AP73" s="27" t="s">
        <v>7</v>
      </c>
      <c r="AU73" s="31">
        <f t="shared" si="89"/>
        <v>0</v>
      </c>
      <c r="AV73" s="31">
        <f t="shared" si="90"/>
        <v>0</v>
      </c>
      <c r="AW73" s="31">
        <f t="shared" si="91"/>
        <v>0</v>
      </c>
      <c r="AX73" s="32" t="s">
        <v>1164</v>
      </c>
      <c r="AY73" s="32" t="s">
        <v>1203</v>
      </c>
      <c r="AZ73" s="26" t="s">
        <v>1215</v>
      </c>
      <c r="BB73" s="31">
        <f t="shared" si="92"/>
        <v>0</v>
      </c>
      <c r="BC73" s="31">
        <f t="shared" si="93"/>
        <v>0</v>
      </c>
      <c r="BD73" s="31">
        <v>0</v>
      </c>
      <c r="BE73" s="31">
        <f t="shared" si="94"/>
        <v>0.6246864000000001</v>
      </c>
      <c r="BG73" s="17">
        <f t="shared" si="95"/>
        <v>0</v>
      </c>
      <c r="BH73" s="17">
        <f t="shared" si="96"/>
        <v>0</v>
      </c>
      <c r="BI73" s="17">
        <f t="shared" si="97"/>
        <v>0</v>
      </c>
    </row>
    <row r="74" spans="1:46" ht="25.5">
      <c r="A74" s="6"/>
      <c r="B74" s="13"/>
      <c r="C74" s="13" t="s">
        <v>64</v>
      </c>
      <c r="D74" s="73" t="s">
        <v>795</v>
      </c>
      <c r="E74" s="6" t="s">
        <v>6</v>
      </c>
      <c r="F74" s="6" t="s">
        <v>6</v>
      </c>
      <c r="G74" s="151" t="s">
        <v>6</v>
      </c>
      <c r="H74" s="34">
        <f>SUM(H75:H75)</f>
        <v>0</v>
      </c>
      <c r="I74" s="34">
        <f>SUM(I75:I75)</f>
        <v>0</v>
      </c>
      <c r="J74" s="34">
        <f>SUM(J75:J75)</f>
        <v>0</v>
      </c>
      <c r="K74" s="26"/>
      <c r="L74" s="34">
        <f>SUM(L75:L75)</f>
        <v>298.456</v>
      </c>
      <c r="AH74" s="26"/>
      <c r="AR74" s="34">
        <f>SUM(AI75:AI75)</f>
        <v>0</v>
      </c>
      <c r="AS74" s="34">
        <f>SUM(AJ75:AJ75)</f>
        <v>0</v>
      </c>
      <c r="AT74" s="34">
        <f>SUM(AK75:AK75)</f>
        <v>0</v>
      </c>
    </row>
    <row r="75" spans="1:61" ht="25.5">
      <c r="A75" s="4" t="s">
        <v>58</v>
      </c>
      <c r="B75" s="4"/>
      <c r="C75" s="4" t="s">
        <v>426</v>
      </c>
      <c r="D75" s="71" t="s">
        <v>796</v>
      </c>
      <c r="E75" s="4" t="s">
        <v>1121</v>
      </c>
      <c r="F75" s="17">
        <v>200</v>
      </c>
      <c r="G75" s="148">
        <v>0</v>
      </c>
      <c r="H75" s="17">
        <f>F75*AN75</f>
        <v>0</v>
      </c>
      <c r="I75" s="17">
        <f>F75*AO75</f>
        <v>0</v>
      </c>
      <c r="J75" s="17">
        <f>F75*G75</f>
        <v>0</v>
      </c>
      <c r="K75" s="17">
        <v>1.49228</v>
      </c>
      <c r="L75" s="17">
        <f>F75*K75</f>
        <v>298.456</v>
      </c>
      <c r="Y75" s="31">
        <f>IF(AP75="5",BI75,0)</f>
        <v>0</v>
      </c>
      <c r="AA75" s="31">
        <f>IF(AP75="1",BG75,0)</f>
        <v>0</v>
      </c>
      <c r="AB75" s="31">
        <f>IF(AP75="1",BH75,0)</f>
        <v>0</v>
      </c>
      <c r="AC75" s="31">
        <f>IF(AP75="7",BG75,0)</f>
        <v>0</v>
      </c>
      <c r="AD75" s="31">
        <f>IF(AP75="7",BH75,0)</f>
        <v>0</v>
      </c>
      <c r="AE75" s="31">
        <f>IF(AP75="2",BG75,0)</f>
        <v>0</v>
      </c>
      <c r="AF75" s="31">
        <f>IF(AP75="2",BH75,0)</f>
        <v>0</v>
      </c>
      <c r="AG75" s="31">
        <f>IF(AP75="0",BI75,0)</f>
        <v>0</v>
      </c>
      <c r="AH75" s="26"/>
      <c r="AI75" s="17">
        <f>IF(AM75=0,J75,0)</f>
        <v>0</v>
      </c>
      <c r="AJ75" s="17">
        <f>IF(AM75=15,J75,0)</f>
        <v>0</v>
      </c>
      <c r="AK75" s="17">
        <f>IF(AM75=21,J75,0)</f>
        <v>0</v>
      </c>
      <c r="AM75" s="31">
        <v>21</v>
      </c>
      <c r="AN75" s="31">
        <f>G75*0.764336925563165</f>
        <v>0</v>
      </c>
      <c r="AO75" s="31">
        <f>G75*(1-0.764336925563165)</f>
        <v>0</v>
      </c>
      <c r="AP75" s="27" t="s">
        <v>7</v>
      </c>
      <c r="AU75" s="31">
        <f>AV75+AW75</f>
        <v>0</v>
      </c>
      <c r="AV75" s="31">
        <f>F75*AN75</f>
        <v>0</v>
      </c>
      <c r="AW75" s="31">
        <f>F75*AO75</f>
        <v>0</v>
      </c>
      <c r="AX75" s="32" t="s">
        <v>1165</v>
      </c>
      <c r="AY75" s="32" t="s">
        <v>1204</v>
      </c>
      <c r="AZ75" s="26" t="s">
        <v>1215</v>
      </c>
      <c r="BB75" s="31">
        <f>AV75+AW75</f>
        <v>0</v>
      </c>
      <c r="BC75" s="31">
        <f>G75/(100-BD75)*100</f>
        <v>0</v>
      </c>
      <c r="BD75" s="31">
        <v>0</v>
      </c>
      <c r="BE75" s="31">
        <f>L75</f>
        <v>298.456</v>
      </c>
      <c r="BG75" s="17">
        <f>F75*AN75</f>
        <v>0</v>
      </c>
      <c r="BH75" s="17">
        <f>F75*AO75</f>
        <v>0</v>
      </c>
      <c r="BI75" s="17">
        <f>F75*G75</f>
        <v>0</v>
      </c>
    </row>
    <row r="76" spans="1:46" ht="12.75">
      <c r="A76" s="6"/>
      <c r="B76" s="13"/>
      <c r="C76" s="13" t="s">
        <v>67</v>
      </c>
      <c r="D76" s="73" t="s">
        <v>797</v>
      </c>
      <c r="E76" s="6" t="s">
        <v>6</v>
      </c>
      <c r="F76" s="6" t="s">
        <v>6</v>
      </c>
      <c r="G76" s="151" t="s">
        <v>6</v>
      </c>
      <c r="H76" s="34">
        <f>SUM(H77:H84)</f>
        <v>0</v>
      </c>
      <c r="I76" s="34">
        <f>SUM(I77:I84)</f>
        <v>0</v>
      </c>
      <c r="J76" s="34">
        <f>SUM(J77:J84)</f>
        <v>0</v>
      </c>
      <c r="K76" s="26"/>
      <c r="L76" s="34">
        <f>SUM(L77:L84)</f>
        <v>37.722492700000004</v>
      </c>
      <c r="AH76" s="26"/>
      <c r="AR76" s="34">
        <f>SUM(AI77:AI84)</f>
        <v>0</v>
      </c>
      <c r="AS76" s="34">
        <f>SUM(AJ77:AJ84)</f>
        <v>0</v>
      </c>
      <c r="AT76" s="34">
        <f>SUM(AK77:AK84)</f>
        <v>0</v>
      </c>
    </row>
    <row r="77" spans="1:61" ht="12.75">
      <c r="A77" s="4" t="s">
        <v>59</v>
      </c>
      <c r="B77" s="4"/>
      <c r="C77" s="4" t="s">
        <v>427</v>
      </c>
      <c r="D77" s="71" t="s">
        <v>798</v>
      </c>
      <c r="E77" s="4" t="s">
        <v>1121</v>
      </c>
      <c r="F77" s="17">
        <v>102</v>
      </c>
      <c r="G77" s="148">
        <v>0</v>
      </c>
      <c r="H77" s="17">
        <f aca="true" t="shared" si="98" ref="H77:H84">F77*AN77</f>
        <v>0</v>
      </c>
      <c r="I77" s="17">
        <f aca="true" t="shared" si="99" ref="I77:I84">F77*AO77</f>
        <v>0</v>
      </c>
      <c r="J77" s="17">
        <f aca="true" t="shared" si="100" ref="J77:J84">F77*G77</f>
        <v>0</v>
      </c>
      <c r="K77" s="17">
        <v>0.00411</v>
      </c>
      <c r="L77" s="17">
        <f aca="true" t="shared" si="101" ref="L77:L84">F77*K77</f>
        <v>0.41922</v>
      </c>
      <c r="Y77" s="31">
        <f aca="true" t="shared" si="102" ref="Y77:Y84">IF(AP77="5",BI77,0)</f>
        <v>0</v>
      </c>
      <c r="AA77" s="31">
        <f aca="true" t="shared" si="103" ref="AA77:AA84">IF(AP77="1",BG77,0)</f>
        <v>0</v>
      </c>
      <c r="AB77" s="31">
        <f aca="true" t="shared" si="104" ref="AB77:AB84">IF(AP77="1",BH77,0)</f>
        <v>0</v>
      </c>
      <c r="AC77" s="31">
        <f aca="true" t="shared" si="105" ref="AC77:AC84">IF(AP77="7",BG77,0)</f>
        <v>0</v>
      </c>
      <c r="AD77" s="31">
        <f aca="true" t="shared" si="106" ref="AD77:AD84">IF(AP77="7",BH77,0)</f>
        <v>0</v>
      </c>
      <c r="AE77" s="31">
        <f aca="true" t="shared" si="107" ref="AE77:AE84">IF(AP77="2",BG77,0)</f>
        <v>0</v>
      </c>
      <c r="AF77" s="31">
        <f aca="true" t="shared" si="108" ref="AF77:AF84">IF(AP77="2",BH77,0)</f>
        <v>0</v>
      </c>
      <c r="AG77" s="31">
        <f aca="true" t="shared" si="109" ref="AG77:AG84">IF(AP77="0",BI77,0)</f>
        <v>0</v>
      </c>
      <c r="AH77" s="26"/>
      <c r="AI77" s="17">
        <f aca="true" t="shared" si="110" ref="AI77:AI84">IF(AM77=0,J77,0)</f>
        <v>0</v>
      </c>
      <c r="AJ77" s="17">
        <f aca="true" t="shared" si="111" ref="AJ77:AJ84">IF(AM77=15,J77,0)</f>
        <v>0</v>
      </c>
      <c r="AK77" s="17">
        <f aca="true" t="shared" si="112" ref="AK77:AK84">IF(AM77=21,J77,0)</f>
        <v>0</v>
      </c>
      <c r="AM77" s="31">
        <v>21</v>
      </c>
      <c r="AN77" s="31">
        <f>G77*0.235647070395751</f>
        <v>0</v>
      </c>
      <c r="AO77" s="31">
        <f>G77*(1-0.235647070395751)</f>
        <v>0</v>
      </c>
      <c r="AP77" s="27" t="s">
        <v>7</v>
      </c>
      <c r="AU77" s="31">
        <f aca="true" t="shared" si="113" ref="AU77:AU84">AV77+AW77</f>
        <v>0</v>
      </c>
      <c r="AV77" s="31">
        <f aca="true" t="shared" si="114" ref="AV77:AV84">F77*AN77</f>
        <v>0</v>
      </c>
      <c r="AW77" s="31">
        <f aca="true" t="shared" si="115" ref="AW77:AW84">F77*AO77</f>
        <v>0</v>
      </c>
      <c r="AX77" s="32" t="s">
        <v>1166</v>
      </c>
      <c r="AY77" s="32" t="s">
        <v>1205</v>
      </c>
      <c r="AZ77" s="26" t="s">
        <v>1215</v>
      </c>
      <c r="BB77" s="31">
        <f aca="true" t="shared" si="116" ref="BB77:BB84">AV77+AW77</f>
        <v>0</v>
      </c>
      <c r="BC77" s="31">
        <f aca="true" t="shared" si="117" ref="BC77:BC84">G77/(100-BD77)*100</f>
        <v>0</v>
      </c>
      <c r="BD77" s="31">
        <v>0</v>
      </c>
      <c r="BE77" s="31">
        <f aca="true" t="shared" si="118" ref="BE77:BE84">L77</f>
        <v>0.41922</v>
      </c>
      <c r="BG77" s="17">
        <f aca="true" t="shared" si="119" ref="BG77:BG84">F77*AN77</f>
        <v>0</v>
      </c>
      <c r="BH77" s="17">
        <f aca="true" t="shared" si="120" ref="BH77:BH84">F77*AO77</f>
        <v>0</v>
      </c>
      <c r="BI77" s="17">
        <f aca="true" t="shared" si="121" ref="BI77:BI84">F77*G77</f>
        <v>0</v>
      </c>
    </row>
    <row r="78" spans="1:61" ht="12.75">
      <c r="A78" s="4" t="s">
        <v>60</v>
      </c>
      <c r="B78" s="4"/>
      <c r="C78" s="4" t="s">
        <v>428</v>
      </c>
      <c r="D78" s="71" t="s">
        <v>799</v>
      </c>
      <c r="E78" s="4" t="s">
        <v>1121</v>
      </c>
      <c r="F78" s="17">
        <v>102</v>
      </c>
      <c r="G78" s="148">
        <v>0</v>
      </c>
      <c r="H78" s="17">
        <f t="shared" si="98"/>
        <v>0</v>
      </c>
      <c r="I78" s="17">
        <f t="shared" si="99"/>
        <v>0</v>
      </c>
      <c r="J78" s="17">
        <f t="shared" si="100"/>
        <v>0</v>
      </c>
      <c r="K78" s="17">
        <v>0.00559</v>
      </c>
      <c r="L78" s="17">
        <f t="shared" si="101"/>
        <v>0.57018</v>
      </c>
      <c r="Y78" s="31">
        <f t="shared" si="102"/>
        <v>0</v>
      </c>
      <c r="AA78" s="31">
        <f t="shared" si="103"/>
        <v>0</v>
      </c>
      <c r="AB78" s="31">
        <f t="shared" si="104"/>
        <v>0</v>
      </c>
      <c r="AC78" s="31">
        <f t="shared" si="105"/>
        <v>0</v>
      </c>
      <c r="AD78" s="31">
        <f t="shared" si="106"/>
        <v>0</v>
      </c>
      <c r="AE78" s="31">
        <f t="shared" si="107"/>
        <v>0</v>
      </c>
      <c r="AF78" s="31">
        <f t="shared" si="108"/>
        <v>0</v>
      </c>
      <c r="AG78" s="31">
        <f t="shared" si="109"/>
        <v>0</v>
      </c>
      <c r="AH78" s="26"/>
      <c r="AI78" s="17">
        <f t="shared" si="110"/>
        <v>0</v>
      </c>
      <c r="AJ78" s="17">
        <f t="shared" si="111"/>
        <v>0</v>
      </c>
      <c r="AK78" s="17">
        <f t="shared" si="112"/>
        <v>0</v>
      </c>
      <c r="AM78" s="31">
        <v>21</v>
      </c>
      <c r="AN78" s="31">
        <f>G78*0.197633802816901</f>
        <v>0</v>
      </c>
      <c r="AO78" s="31">
        <f>G78*(1-0.197633802816901)</f>
        <v>0</v>
      </c>
      <c r="AP78" s="27" t="s">
        <v>7</v>
      </c>
      <c r="AU78" s="31">
        <f t="shared" si="113"/>
        <v>0</v>
      </c>
      <c r="AV78" s="31">
        <f t="shared" si="114"/>
        <v>0</v>
      </c>
      <c r="AW78" s="31">
        <f t="shared" si="115"/>
        <v>0</v>
      </c>
      <c r="AX78" s="32" t="s">
        <v>1166</v>
      </c>
      <c r="AY78" s="32" t="s">
        <v>1205</v>
      </c>
      <c r="AZ78" s="26" t="s">
        <v>1215</v>
      </c>
      <c r="BB78" s="31">
        <f t="shared" si="116"/>
        <v>0</v>
      </c>
      <c r="BC78" s="31">
        <f t="shared" si="117"/>
        <v>0</v>
      </c>
      <c r="BD78" s="31">
        <v>0</v>
      </c>
      <c r="BE78" s="31">
        <f t="shared" si="118"/>
        <v>0.57018</v>
      </c>
      <c r="BG78" s="17">
        <f t="shared" si="119"/>
        <v>0</v>
      </c>
      <c r="BH78" s="17">
        <f t="shared" si="120"/>
        <v>0</v>
      </c>
      <c r="BI78" s="17">
        <f t="shared" si="121"/>
        <v>0</v>
      </c>
    </row>
    <row r="79" spans="1:61" ht="12.75">
      <c r="A79" s="4" t="s">
        <v>61</v>
      </c>
      <c r="B79" s="4"/>
      <c r="C79" s="4" t="s">
        <v>429</v>
      </c>
      <c r="D79" s="71" t="s">
        <v>800</v>
      </c>
      <c r="E79" s="4" t="s">
        <v>1121</v>
      </c>
      <c r="F79" s="17">
        <v>536.25</v>
      </c>
      <c r="G79" s="148">
        <v>0</v>
      </c>
      <c r="H79" s="17">
        <f t="shared" si="98"/>
        <v>0</v>
      </c>
      <c r="I79" s="17">
        <f t="shared" si="99"/>
        <v>0</v>
      </c>
      <c r="J79" s="17">
        <f t="shared" si="100"/>
        <v>0</v>
      </c>
      <c r="K79" s="17">
        <v>0.02798</v>
      </c>
      <c r="L79" s="17">
        <f t="shared" si="101"/>
        <v>15.004275000000002</v>
      </c>
      <c r="Y79" s="31">
        <f t="shared" si="102"/>
        <v>0</v>
      </c>
      <c r="AA79" s="31">
        <f t="shared" si="103"/>
        <v>0</v>
      </c>
      <c r="AB79" s="31">
        <f t="shared" si="104"/>
        <v>0</v>
      </c>
      <c r="AC79" s="31">
        <f t="shared" si="105"/>
        <v>0</v>
      </c>
      <c r="AD79" s="31">
        <f t="shared" si="106"/>
        <v>0</v>
      </c>
      <c r="AE79" s="31">
        <f t="shared" si="107"/>
        <v>0</v>
      </c>
      <c r="AF79" s="31">
        <f t="shared" si="108"/>
        <v>0</v>
      </c>
      <c r="AG79" s="31">
        <f t="shared" si="109"/>
        <v>0</v>
      </c>
      <c r="AH79" s="26"/>
      <c r="AI79" s="17">
        <f t="shared" si="110"/>
        <v>0</v>
      </c>
      <c r="AJ79" s="17">
        <f t="shared" si="111"/>
        <v>0</v>
      </c>
      <c r="AK79" s="17">
        <f t="shared" si="112"/>
        <v>0</v>
      </c>
      <c r="AM79" s="31">
        <v>21</v>
      </c>
      <c r="AN79" s="31">
        <f>G79*0.289129937410508</f>
        <v>0</v>
      </c>
      <c r="AO79" s="31">
        <f>G79*(1-0.289129937410508)</f>
        <v>0</v>
      </c>
      <c r="AP79" s="27" t="s">
        <v>7</v>
      </c>
      <c r="AU79" s="31">
        <f t="shared" si="113"/>
        <v>0</v>
      </c>
      <c r="AV79" s="31">
        <f t="shared" si="114"/>
        <v>0</v>
      </c>
      <c r="AW79" s="31">
        <f t="shared" si="115"/>
        <v>0</v>
      </c>
      <c r="AX79" s="32" t="s">
        <v>1166</v>
      </c>
      <c r="AY79" s="32" t="s">
        <v>1205</v>
      </c>
      <c r="AZ79" s="26" t="s">
        <v>1215</v>
      </c>
      <c r="BB79" s="31">
        <f t="shared" si="116"/>
        <v>0</v>
      </c>
      <c r="BC79" s="31">
        <f t="shared" si="117"/>
        <v>0</v>
      </c>
      <c r="BD79" s="31">
        <v>0</v>
      </c>
      <c r="BE79" s="31">
        <f t="shared" si="118"/>
        <v>15.004275000000002</v>
      </c>
      <c r="BG79" s="17">
        <f t="shared" si="119"/>
        <v>0</v>
      </c>
      <c r="BH79" s="17">
        <f t="shared" si="120"/>
        <v>0</v>
      </c>
      <c r="BI79" s="17">
        <f t="shared" si="121"/>
        <v>0</v>
      </c>
    </row>
    <row r="80" spans="1:61" ht="12.75">
      <c r="A80" s="4" t="s">
        <v>62</v>
      </c>
      <c r="B80" s="4"/>
      <c r="C80" s="4" t="s">
        <v>430</v>
      </c>
      <c r="D80" s="71" t="s">
        <v>801</v>
      </c>
      <c r="E80" s="4" t="s">
        <v>1121</v>
      </c>
      <c r="F80" s="17">
        <v>536.25</v>
      </c>
      <c r="G80" s="148">
        <v>0</v>
      </c>
      <c r="H80" s="17">
        <f t="shared" si="98"/>
        <v>0</v>
      </c>
      <c r="I80" s="17">
        <f t="shared" si="99"/>
        <v>0</v>
      </c>
      <c r="J80" s="17">
        <f t="shared" si="100"/>
        <v>0</v>
      </c>
      <c r="K80" s="17">
        <v>0.00525</v>
      </c>
      <c r="L80" s="17">
        <f t="shared" si="101"/>
        <v>2.8153125</v>
      </c>
      <c r="Y80" s="31">
        <f t="shared" si="102"/>
        <v>0</v>
      </c>
      <c r="AA80" s="31">
        <f t="shared" si="103"/>
        <v>0</v>
      </c>
      <c r="AB80" s="31">
        <f t="shared" si="104"/>
        <v>0</v>
      </c>
      <c r="AC80" s="31">
        <f t="shared" si="105"/>
        <v>0</v>
      </c>
      <c r="AD80" s="31">
        <f t="shared" si="106"/>
        <v>0</v>
      </c>
      <c r="AE80" s="31">
        <f t="shared" si="107"/>
        <v>0</v>
      </c>
      <c r="AF80" s="31">
        <f t="shared" si="108"/>
        <v>0</v>
      </c>
      <c r="AG80" s="31">
        <f t="shared" si="109"/>
        <v>0</v>
      </c>
      <c r="AH80" s="26"/>
      <c r="AI80" s="17">
        <f t="shared" si="110"/>
        <v>0</v>
      </c>
      <c r="AJ80" s="17">
        <f t="shared" si="111"/>
        <v>0</v>
      </c>
      <c r="AK80" s="17">
        <f t="shared" si="112"/>
        <v>0</v>
      </c>
      <c r="AM80" s="31">
        <v>21</v>
      </c>
      <c r="AN80" s="31">
        <f>G80*0.391411042944785</f>
        <v>0</v>
      </c>
      <c r="AO80" s="31">
        <f>G80*(1-0.391411042944785)</f>
        <v>0</v>
      </c>
      <c r="AP80" s="27" t="s">
        <v>7</v>
      </c>
      <c r="AU80" s="31">
        <f t="shared" si="113"/>
        <v>0</v>
      </c>
      <c r="AV80" s="31">
        <f t="shared" si="114"/>
        <v>0</v>
      </c>
      <c r="AW80" s="31">
        <f t="shared" si="115"/>
        <v>0</v>
      </c>
      <c r="AX80" s="32" t="s">
        <v>1166</v>
      </c>
      <c r="AY80" s="32" t="s">
        <v>1205</v>
      </c>
      <c r="AZ80" s="26" t="s">
        <v>1215</v>
      </c>
      <c r="BB80" s="31">
        <f t="shared" si="116"/>
        <v>0</v>
      </c>
      <c r="BC80" s="31">
        <f t="shared" si="117"/>
        <v>0</v>
      </c>
      <c r="BD80" s="31">
        <v>0</v>
      </c>
      <c r="BE80" s="31">
        <f t="shared" si="118"/>
        <v>2.8153125</v>
      </c>
      <c r="BG80" s="17">
        <f t="shared" si="119"/>
        <v>0</v>
      </c>
      <c r="BH80" s="17">
        <f t="shared" si="120"/>
        <v>0</v>
      </c>
      <c r="BI80" s="17">
        <f t="shared" si="121"/>
        <v>0</v>
      </c>
    </row>
    <row r="81" spans="1:61" ht="12.75">
      <c r="A81" s="4" t="s">
        <v>63</v>
      </c>
      <c r="B81" s="4"/>
      <c r="C81" s="4" t="s">
        <v>431</v>
      </c>
      <c r="D81" s="71" t="s">
        <v>802</v>
      </c>
      <c r="E81" s="4" t="s">
        <v>1123</v>
      </c>
      <c r="F81" s="17">
        <v>101.6</v>
      </c>
      <c r="G81" s="148">
        <v>0</v>
      </c>
      <c r="H81" s="17">
        <f t="shared" si="98"/>
        <v>0</v>
      </c>
      <c r="I81" s="17">
        <f t="shared" si="99"/>
        <v>0</v>
      </c>
      <c r="J81" s="17">
        <f t="shared" si="100"/>
        <v>0</v>
      </c>
      <c r="K81" s="17">
        <v>0.00046</v>
      </c>
      <c r="L81" s="17">
        <f t="shared" si="101"/>
        <v>0.046736</v>
      </c>
      <c r="Y81" s="31">
        <f t="shared" si="102"/>
        <v>0</v>
      </c>
      <c r="AA81" s="31">
        <f t="shared" si="103"/>
        <v>0</v>
      </c>
      <c r="AB81" s="31">
        <f t="shared" si="104"/>
        <v>0</v>
      </c>
      <c r="AC81" s="31">
        <f t="shared" si="105"/>
        <v>0</v>
      </c>
      <c r="AD81" s="31">
        <f t="shared" si="106"/>
        <v>0</v>
      </c>
      <c r="AE81" s="31">
        <f t="shared" si="107"/>
        <v>0</v>
      </c>
      <c r="AF81" s="31">
        <f t="shared" si="108"/>
        <v>0</v>
      </c>
      <c r="AG81" s="31">
        <f t="shared" si="109"/>
        <v>0</v>
      </c>
      <c r="AH81" s="26"/>
      <c r="AI81" s="17">
        <f t="shared" si="110"/>
        <v>0</v>
      </c>
      <c r="AJ81" s="17">
        <f t="shared" si="111"/>
        <v>0</v>
      </c>
      <c r="AK81" s="17">
        <f t="shared" si="112"/>
        <v>0</v>
      </c>
      <c r="AM81" s="31">
        <v>21</v>
      </c>
      <c r="AN81" s="31">
        <f>G81*1</f>
        <v>0</v>
      </c>
      <c r="AO81" s="31">
        <f>G81*(1-1)</f>
        <v>0</v>
      </c>
      <c r="AP81" s="27" t="s">
        <v>7</v>
      </c>
      <c r="AU81" s="31">
        <f t="shared" si="113"/>
        <v>0</v>
      </c>
      <c r="AV81" s="31">
        <f t="shared" si="114"/>
        <v>0</v>
      </c>
      <c r="AW81" s="31">
        <f t="shared" si="115"/>
        <v>0</v>
      </c>
      <c r="AX81" s="32" t="s">
        <v>1166</v>
      </c>
      <c r="AY81" s="32" t="s">
        <v>1205</v>
      </c>
      <c r="AZ81" s="26" t="s">
        <v>1215</v>
      </c>
      <c r="BB81" s="31">
        <f t="shared" si="116"/>
        <v>0</v>
      </c>
      <c r="BC81" s="31">
        <f t="shared" si="117"/>
        <v>0</v>
      </c>
      <c r="BD81" s="31">
        <v>0</v>
      </c>
      <c r="BE81" s="31">
        <f t="shared" si="118"/>
        <v>0.046736</v>
      </c>
      <c r="BG81" s="17">
        <f t="shared" si="119"/>
        <v>0</v>
      </c>
      <c r="BH81" s="17">
        <f t="shared" si="120"/>
        <v>0</v>
      </c>
      <c r="BI81" s="17">
        <f t="shared" si="121"/>
        <v>0</v>
      </c>
    </row>
    <row r="82" spans="1:61" ht="12.75">
      <c r="A82" s="4" t="s">
        <v>64</v>
      </c>
      <c r="B82" s="4"/>
      <c r="C82" s="4" t="s">
        <v>432</v>
      </c>
      <c r="D82" s="71" t="s">
        <v>803</v>
      </c>
      <c r="E82" s="4" t="s">
        <v>1121</v>
      </c>
      <c r="F82" s="17">
        <v>749</v>
      </c>
      <c r="G82" s="148">
        <v>0</v>
      </c>
      <c r="H82" s="17">
        <f t="shared" si="98"/>
        <v>0</v>
      </c>
      <c r="I82" s="17">
        <f t="shared" si="99"/>
        <v>0</v>
      </c>
      <c r="J82" s="17">
        <f t="shared" si="100"/>
        <v>0</v>
      </c>
      <c r="K82" s="17">
        <v>0.00412</v>
      </c>
      <c r="L82" s="17">
        <f t="shared" si="101"/>
        <v>3.0858800000000004</v>
      </c>
      <c r="Y82" s="31">
        <f t="shared" si="102"/>
        <v>0</v>
      </c>
      <c r="AA82" s="31">
        <f t="shared" si="103"/>
        <v>0</v>
      </c>
      <c r="AB82" s="31">
        <f t="shared" si="104"/>
        <v>0</v>
      </c>
      <c r="AC82" s="31">
        <f t="shared" si="105"/>
        <v>0</v>
      </c>
      <c r="AD82" s="31">
        <f t="shared" si="106"/>
        <v>0</v>
      </c>
      <c r="AE82" s="31">
        <f t="shared" si="107"/>
        <v>0</v>
      </c>
      <c r="AF82" s="31">
        <f t="shared" si="108"/>
        <v>0</v>
      </c>
      <c r="AG82" s="31">
        <f t="shared" si="109"/>
        <v>0</v>
      </c>
      <c r="AH82" s="26"/>
      <c r="AI82" s="17">
        <f t="shared" si="110"/>
        <v>0</v>
      </c>
      <c r="AJ82" s="17">
        <f t="shared" si="111"/>
        <v>0</v>
      </c>
      <c r="AK82" s="17">
        <f t="shared" si="112"/>
        <v>0</v>
      </c>
      <c r="AM82" s="31">
        <v>21</v>
      </c>
      <c r="AN82" s="31">
        <f>G82*0.200245592491887</f>
        <v>0</v>
      </c>
      <c r="AO82" s="31">
        <f>G82*(1-0.200245592491887)</f>
        <v>0</v>
      </c>
      <c r="AP82" s="27" t="s">
        <v>7</v>
      </c>
      <c r="AU82" s="31">
        <f t="shared" si="113"/>
        <v>0</v>
      </c>
      <c r="AV82" s="31">
        <f t="shared" si="114"/>
        <v>0</v>
      </c>
      <c r="AW82" s="31">
        <f t="shared" si="115"/>
        <v>0</v>
      </c>
      <c r="AX82" s="32" t="s">
        <v>1166</v>
      </c>
      <c r="AY82" s="32" t="s">
        <v>1205</v>
      </c>
      <c r="AZ82" s="26" t="s">
        <v>1215</v>
      </c>
      <c r="BB82" s="31">
        <f t="shared" si="116"/>
        <v>0</v>
      </c>
      <c r="BC82" s="31">
        <f t="shared" si="117"/>
        <v>0</v>
      </c>
      <c r="BD82" s="31">
        <v>0</v>
      </c>
      <c r="BE82" s="31">
        <f t="shared" si="118"/>
        <v>3.0858800000000004</v>
      </c>
      <c r="BG82" s="17">
        <f t="shared" si="119"/>
        <v>0</v>
      </c>
      <c r="BH82" s="17">
        <f t="shared" si="120"/>
        <v>0</v>
      </c>
      <c r="BI82" s="17">
        <f t="shared" si="121"/>
        <v>0</v>
      </c>
    </row>
    <row r="83" spans="1:61" ht="12.75">
      <c r="A83" s="4" t="s">
        <v>65</v>
      </c>
      <c r="B83" s="4"/>
      <c r="C83" s="4" t="s">
        <v>429</v>
      </c>
      <c r="D83" s="71" t="s">
        <v>800</v>
      </c>
      <c r="E83" s="4" t="s">
        <v>1121</v>
      </c>
      <c r="F83" s="17">
        <v>111.54</v>
      </c>
      <c r="G83" s="148">
        <v>0</v>
      </c>
      <c r="H83" s="17">
        <f t="shared" si="98"/>
        <v>0</v>
      </c>
      <c r="I83" s="17">
        <f t="shared" si="99"/>
        <v>0</v>
      </c>
      <c r="J83" s="17">
        <f t="shared" si="100"/>
        <v>0</v>
      </c>
      <c r="K83" s="17">
        <v>0.02798</v>
      </c>
      <c r="L83" s="17">
        <f t="shared" si="101"/>
        <v>3.1208892</v>
      </c>
      <c r="Y83" s="31">
        <f t="shared" si="102"/>
        <v>0</v>
      </c>
      <c r="AA83" s="31">
        <f t="shared" si="103"/>
        <v>0</v>
      </c>
      <c r="AB83" s="31">
        <f t="shared" si="104"/>
        <v>0</v>
      </c>
      <c r="AC83" s="31">
        <f t="shared" si="105"/>
        <v>0</v>
      </c>
      <c r="AD83" s="31">
        <f t="shared" si="106"/>
        <v>0</v>
      </c>
      <c r="AE83" s="31">
        <f t="shared" si="107"/>
        <v>0</v>
      </c>
      <c r="AF83" s="31">
        <f t="shared" si="108"/>
        <v>0</v>
      </c>
      <c r="AG83" s="31">
        <f t="shared" si="109"/>
        <v>0</v>
      </c>
      <c r="AH83" s="26"/>
      <c r="AI83" s="17">
        <f t="shared" si="110"/>
        <v>0</v>
      </c>
      <c r="AJ83" s="17">
        <f t="shared" si="111"/>
        <v>0</v>
      </c>
      <c r="AK83" s="17">
        <f t="shared" si="112"/>
        <v>0</v>
      </c>
      <c r="AM83" s="31">
        <v>21</v>
      </c>
      <c r="AN83" s="31">
        <f>G83*0.289129943502825</f>
        <v>0</v>
      </c>
      <c r="AO83" s="31">
        <f>G83*(1-0.289129943502825)</f>
        <v>0</v>
      </c>
      <c r="AP83" s="27" t="s">
        <v>7</v>
      </c>
      <c r="AU83" s="31">
        <f t="shared" si="113"/>
        <v>0</v>
      </c>
      <c r="AV83" s="31">
        <f t="shared" si="114"/>
        <v>0</v>
      </c>
      <c r="AW83" s="31">
        <f t="shared" si="115"/>
        <v>0</v>
      </c>
      <c r="AX83" s="32" t="s">
        <v>1166</v>
      </c>
      <c r="AY83" s="32" t="s">
        <v>1205</v>
      </c>
      <c r="AZ83" s="26" t="s">
        <v>1215</v>
      </c>
      <c r="BB83" s="31">
        <f t="shared" si="116"/>
        <v>0</v>
      </c>
      <c r="BC83" s="31">
        <f t="shared" si="117"/>
        <v>0</v>
      </c>
      <c r="BD83" s="31">
        <v>0</v>
      </c>
      <c r="BE83" s="31">
        <f t="shared" si="118"/>
        <v>3.1208892</v>
      </c>
      <c r="BG83" s="17">
        <f t="shared" si="119"/>
        <v>0</v>
      </c>
      <c r="BH83" s="17">
        <f t="shared" si="120"/>
        <v>0</v>
      </c>
      <c r="BI83" s="17">
        <f t="shared" si="121"/>
        <v>0</v>
      </c>
    </row>
    <row r="84" spans="1:61" ht="12.75">
      <c r="A84" s="4" t="s">
        <v>66</v>
      </c>
      <c r="B84" s="4" t="s">
        <v>377</v>
      </c>
      <c r="C84" s="4" t="s">
        <v>433</v>
      </c>
      <c r="D84" s="71" t="s">
        <v>804</v>
      </c>
      <c r="E84" s="4" t="s">
        <v>1123</v>
      </c>
      <c r="F84" s="17">
        <v>240</v>
      </c>
      <c r="G84" s="148">
        <v>0</v>
      </c>
      <c r="H84" s="17">
        <f t="shared" si="98"/>
        <v>0</v>
      </c>
      <c r="I84" s="17">
        <f t="shared" si="99"/>
        <v>0</v>
      </c>
      <c r="J84" s="17">
        <f t="shared" si="100"/>
        <v>0</v>
      </c>
      <c r="K84" s="17">
        <v>0.05275</v>
      </c>
      <c r="L84" s="17">
        <f t="shared" si="101"/>
        <v>12.66</v>
      </c>
      <c r="Y84" s="31">
        <f t="shared" si="102"/>
        <v>0</v>
      </c>
      <c r="AA84" s="31">
        <f t="shared" si="103"/>
        <v>0</v>
      </c>
      <c r="AB84" s="31">
        <f t="shared" si="104"/>
        <v>0</v>
      </c>
      <c r="AC84" s="31">
        <f t="shared" si="105"/>
        <v>0</v>
      </c>
      <c r="AD84" s="31">
        <f t="shared" si="106"/>
        <v>0</v>
      </c>
      <c r="AE84" s="31">
        <f t="shared" si="107"/>
        <v>0</v>
      </c>
      <c r="AF84" s="31">
        <f t="shared" si="108"/>
        <v>0</v>
      </c>
      <c r="AG84" s="31">
        <f t="shared" si="109"/>
        <v>0</v>
      </c>
      <c r="AH84" s="26" t="s">
        <v>377</v>
      </c>
      <c r="AI84" s="17">
        <f t="shared" si="110"/>
        <v>0</v>
      </c>
      <c r="AJ84" s="17">
        <f t="shared" si="111"/>
        <v>0</v>
      </c>
      <c r="AK84" s="17">
        <f t="shared" si="112"/>
        <v>0</v>
      </c>
      <c r="AM84" s="31">
        <v>21</v>
      </c>
      <c r="AN84" s="31">
        <f>G84*0.169875424688562</f>
        <v>0</v>
      </c>
      <c r="AO84" s="31">
        <f>G84*(1-0.169875424688562)</f>
        <v>0</v>
      </c>
      <c r="AP84" s="27" t="s">
        <v>7</v>
      </c>
      <c r="AU84" s="31">
        <f t="shared" si="113"/>
        <v>0</v>
      </c>
      <c r="AV84" s="31">
        <f t="shared" si="114"/>
        <v>0</v>
      </c>
      <c r="AW84" s="31">
        <f t="shared" si="115"/>
        <v>0</v>
      </c>
      <c r="AX84" s="32" t="s">
        <v>1166</v>
      </c>
      <c r="AY84" s="32" t="s">
        <v>1205</v>
      </c>
      <c r="AZ84" s="26" t="s">
        <v>1216</v>
      </c>
      <c r="BB84" s="31">
        <f t="shared" si="116"/>
        <v>0</v>
      </c>
      <c r="BC84" s="31">
        <f t="shared" si="117"/>
        <v>0</v>
      </c>
      <c r="BD84" s="31">
        <v>0</v>
      </c>
      <c r="BE84" s="31">
        <f t="shared" si="118"/>
        <v>12.66</v>
      </c>
      <c r="BG84" s="17">
        <f t="shared" si="119"/>
        <v>0</v>
      </c>
      <c r="BH84" s="17">
        <f t="shared" si="120"/>
        <v>0</v>
      </c>
      <c r="BI84" s="17">
        <f t="shared" si="121"/>
        <v>0</v>
      </c>
    </row>
    <row r="85" spans="1:46" ht="12.75">
      <c r="A85" s="6"/>
      <c r="B85" s="13"/>
      <c r="C85" s="13" t="s">
        <v>68</v>
      </c>
      <c r="D85" s="73" t="s">
        <v>805</v>
      </c>
      <c r="E85" s="6" t="s">
        <v>6</v>
      </c>
      <c r="F85" s="6" t="s">
        <v>6</v>
      </c>
      <c r="G85" s="151" t="s">
        <v>6</v>
      </c>
      <c r="H85" s="34">
        <f>SUM(H86:H87)</f>
        <v>0</v>
      </c>
      <c r="I85" s="34">
        <f>SUM(I86:I87)</f>
        <v>0</v>
      </c>
      <c r="J85" s="34">
        <f>SUM(J86:J87)</f>
        <v>0</v>
      </c>
      <c r="K85" s="26"/>
      <c r="L85" s="34">
        <f>SUM(L86:L87)</f>
        <v>8.0689107</v>
      </c>
      <c r="AH85" s="26"/>
      <c r="AR85" s="34">
        <f>SUM(AI86:AI87)</f>
        <v>0</v>
      </c>
      <c r="AS85" s="34">
        <f>SUM(AJ86:AJ87)</f>
        <v>0</v>
      </c>
      <c r="AT85" s="34">
        <f>SUM(AK86:AK87)</f>
        <v>0</v>
      </c>
    </row>
    <row r="86" spans="1:61" ht="12.75">
      <c r="A86" s="4" t="s">
        <v>67</v>
      </c>
      <c r="B86" s="4"/>
      <c r="C86" s="4" t="s">
        <v>434</v>
      </c>
      <c r="D86" s="71" t="s">
        <v>806</v>
      </c>
      <c r="E86" s="4" t="s">
        <v>1121</v>
      </c>
      <c r="F86" s="17">
        <v>86.28</v>
      </c>
      <c r="G86" s="148">
        <v>0</v>
      </c>
      <c r="H86" s="17">
        <f>F86*AN86</f>
        <v>0</v>
      </c>
      <c r="I86" s="17">
        <f>F86*AO86</f>
        <v>0</v>
      </c>
      <c r="J86" s="17">
        <f>F86*G86</f>
        <v>0</v>
      </c>
      <c r="K86" s="17">
        <v>0.05147</v>
      </c>
      <c r="L86" s="17">
        <f>F86*K86</f>
        <v>4.4408316</v>
      </c>
      <c r="Y86" s="31">
        <f>IF(AP86="5",BI86,0)</f>
        <v>0</v>
      </c>
      <c r="AA86" s="31">
        <f>IF(AP86="1",BG86,0)</f>
        <v>0</v>
      </c>
      <c r="AB86" s="31">
        <f>IF(AP86="1",BH86,0)</f>
        <v>0</v>
      </c>
      <c r="AC86" s="31">
        <f>IF(AP86="7",BG86,0)</f>
        <v>0</v>
      </c>
      <c r="AD86" s="31">
        <f>IF(AP86="7",BH86,0)</f>
        <v>0</v>
      </c>
      <c r="AE86" s="31">
        <f>IF(AP86="2",BG86,0)</f>
        <v>0</v>
      </c>
      <c r="AF86" s="31">
        <f>IF(AP86="2",BH86,0)</f>
        <v>0</v>
      </c>
      <c r="AG86" s="31">
        <f>IF(AP86="0",BI86,0)</f>
        <v>0</v>
      </c>
      <c r="AH86" s="26"/>
      <c r="AI86" s="17">
        <f>IF(AM86=0,J86,0)</f>
        <v>0</v>
      </c>
      <c r="AJ86" s="17">
        <f>IF(AM86=15,J86,0)</f>
        <v>0</v>
      </c>
      <c r="AK86" s="17">
        <f>IF(AM86=21,J86,0)</f>
        <v>0</v>
      </c>
      <c r="AM86" s="31">
        <v>21</v>
      </c>
      <c r="AN86" s="31">
        <f>G86*0.508123914302258</f>
        <v>0</v>
      </c>
      <c r="AO86" s="31">
        <f>G86*(1-0.508123914302258)</f>
        <v>0</v>
      </c>
      <c r="AP86" s="27" t="s">
        <v>7</v>
      </c>
      <c r="AU86" s="31">
        <f>AV86+AW86</f>
        <v>0</v>
      </c>
      <c r="AV86" s="31">
        <f>F86*AN86</f>
        <v>0</v>
      </c>
      <c r="AW86" s="31">
        <f>F86*AO86</f>
        <v>0</v>
      </c>
      <c r="AX86" s="32" t="s">
        <v>1167</v>
      </c>
      <c r="AY86" s="32" t="s">
        <v>1205</v>
      </c>
      <c r="AZ86" s="26" t="s">
        <v>1215</v>
      </c>
      <c r="BB86" s="31">
        <f>AV86+AW86</f>
        <v>0</v>
      </c>
      <c r="BC86" s="31">
        <f>G86/(100-BD86)*100</f>
        <v>0</v>
      </c>
      <c r="BD86" s="31">
        <v>0</v>
      </c>
      <c r="BE86" s="31">
        <f>L86</f>
        <v>4.4408316</v>
      </c>
      <c r="BG86" s="17">
        <f>F86*AN86</f>
        <v>0</v>
      </c>
      <c r="BH86" s="17">
        <f>F86*AO86</f>
        <v>0</v>
      </c>
      <c r="BI86" s="17">
        <f>F86*G86</f>
        <v>0</v>
      </c>
    </row>
    <row r="87" spans="1:61" ht="12.75">
      <c r="A87" s="4" t="s">
        <v>68</v>
      </c>
      <c r="B87" s="4"/>
      <c r="C87" s="4" t="s">
        <v>435</v>
      </c>
      <c r="D87" s="71" t="s">
        <v>807</v>
      </c>
      <c r="E87" s="4" t="s">
        <v>1121</v>
      </c>
      <c r="F87" s="17">
        <v>288.63</v>
      </c>
      <c r="G87" s="148">
        <v>0</v>
      </c>
      <c r="H87" s="17">
        <f>F87*AN87</f>
        <v>0</v>
      </c>
      <c r="I87" s="17">
        <f>F87*AO87</f>
        <v>0</v>
      </c>
      <c r="J87" s="17">
        <f>F87*G87</f>
        <v>0</v>
      </c>
      <c r="K87" s="17">
        <v>0.01257</v>
      </c>
      <c r="L87" s="17">
        <f>F87*K87</f>
        <v>3.6280791</v>
      </c>
      <c r="Y87" s="31">
        <f>IF(AP87="5",BI87,0)</f>
        <v>0</v>
      </c>
      <c r="AA87" s="31">
        <f>IF(AP87="1",BG87,0)</f>
        <v>0</v>
      </c>
      <c r="AB87" s="31">
        <f>IF(AP87="1",BH87,0)</f>
        <v>0</v>
      </c>
      <c r="AC87" s="31">
        <f>IF(AP87="7",BG87,0)</f>
        <v>0</v>
      </c>
      <c r="AD87" s="31">
        <f>IF(AP87="7",BH87,0)</f>
        <v>0</v>
      </c>
      <c r="AE87" s="31">
        <f>IF(AP87="2",BG87,0)</f>
        <v>0</v>
      </c>
      <c r="AF87" s="31">
        <f>IF(AP87="2",BH87,0)</f>
        <v>0</v>
      </c>
      <c r="AG87" s="31">
        <f>IF(AP87="0",BI87,0)</f>
        <v>0</v>
      </c>
      <c r="AH87" s="26"/>
      <c r="AI87" s="17">
        <f>IF(AM87=0,J87,0)</f>
        <v>0</v>
      </c>
      <c r="AJ87" s="17">
        <f>IF(AM87=15,J87,0)</f>
        <v>0</v>
      </c>
      <c r="AK87" s="17">
        <f>IF(AM87=21,J87,0)</f>
        <v>0</v>
      </c>
      <c r="AM87" s="31">
        <v>21</v>
      </c>
      <c r="AN87" s="31">
        <f>G87*0.374654693280332</f>
        <v>0</v>
      </c>
      <c r="AO87" s="31">
        <f>G87*(1-0.374654693280332)</f>
        <v>0</v>
      </c>
      <c r="AP87" s="27" t="s">
        <v>7</v>
      </c>
      <c r="AU87" s="31">
        <f>AV87+AW87</f>
        <v>0</v>
      </c>
      <c r="AV87" s="31">
        <f>F87*AN87</f>
        <v>0</v>
      </c>
      <c r="AW87" s="31">
        <f>F87*AO87</f>
        <v>0</v>
      </c>
      <c r="AX87" s="32" t="s">
        <v>1167</v>
      </c>
      <c r="AY87" s="32" t="s">
        <v>1205</v>
      </c>
      <c r="AZ87" s="26" t="s">
        <v>1215</v>
      </c>
      <c r="BB87" s="31">
        <f>AV87+AW87</f>
        <v>0</v>
      </c>
      <c r="BC87" s="31">
        <f>G87/(100-BD87)*100</f>
        <v>0</v>
      </c>
      <c r="BD87" s="31">
        <v>0</v>
      </c>
      <c r="BE87" s="31">
        <f>L87</f>
        <v>3.6280791</v>
      </c>
      <c r="BG87" s="17">
        <f>F87*AN87</f>
        <v>0</v>
      </c>
      <c r="BH87" s="17">
        <f>F87*AO87</f>
        <v>0</v>
      </c>
      <c r="BI87" s="17">
        <f>F87*G87</f>
        <v>0</v>
      </c>
    </row>
    <row r="88" spans="1:46" ht="12.75">
      <c r="A88" s="6"/>
      <c r="B88" s="13"/>
      <c r="C88" s="13" t="s">
        <v>69</v>
      </c>
      <c r="D88" s="73" t="s">
        <v>808</v>
      </c>
      <c r="E88" s="6" t="s">
        <v>6</v>
      </c>
      <c r="F88" s="6" t="s">
        <v>6</v>
      </c>
      <c r="G88" s="151" t="s">
        <v>6</v>
      </c>
      <c r="H88" s="34">
        <f>SUM(H89:H92)</f>
        <v>0</v>
      </c>
      <c r="I88" s="34">
        <f>SUM(I89:I92)</f>
        <v>0</v>
      </c>
      <c r="J88" s="34">
        <f>SUM(J89:J92)</f>
        <v>0</v>
      </c>
      <c r="K88" s="26"/>
      <c r="L88" s="34">
        <f>SUM(L89:L92)</f>
        <v>482.38534125</v>
      </c>
      <c r="AH88" s="26"/>
      <c r="AR88" s="34">
        <f>SUM(AI89:AI92)</f>
        <v>0</v>
      </c>
      <c r="AS88" s="34">
        <f>SUM(AJ89:AJ92)</f>
        <v>0</v>
      </c>
      <c r="AT88" s="34">
        <f>SUM(AK89:AK92)</f>
        <v>0</v>
      </c>
    </row>
    <row r="89" spans="1:61" ht="12.75">
      <c r="A89" s="4" t="s">
        <v>69</v>
      </c>
      <c r="B89" s="4"/>
      <c r="C89" s="4" t="s">
        <v>436</v>
      </c>
      <c r="D89" s="71" t="s">
        <v>809</v>
      </c>
      <c r="E89" s="4" t="s">
        <v>1119</v>
      </c>
      <c r="F89" s="17">
        <v>5.05</v>
      </c>
      <c r="G89" s="148">
        <v>0</v>
      </c>
      <c r="H89" s="17">
        <f>F89*AN89</f>
        <v>0</v>
      </c>
      <c r="I89" s="17">
        <f>F89*AO89</f>
        <v>0</v>
      </c>
      <c r="J89" s="17">
        <f>F89*G89</f>
        <v>0</v>
      </c>
      <c r="K89" s="17">
        <v>2.323</v>
      </c>
      <c r="L89" s="17">
        <f>F89*K89</f>
        <v>11.73115</v>
      </c>
      <c r="Y89" s="31">
        <f>IF(AP89="5",BI89,0)</f>
        <v>0</v>
      </c>
      <c r="AA89" s="31">
        <f>IF(AP89="1",BG89,0)</f>
        <v>0</v>
      </c>
      <c r="AB89" s="31">
        <f>IF(AP89="1",BH89,0)</f>
        <v>0</v>
      </c>
      <c r="AC89" s="31">
        <f>IF(AP89="7",BG89,0)</f>
        <v>0</v>
      </c>
      <c r="AD89" s="31">
        <f>IF(AP89="7",BH89,0)</f>
        <v>0</v>
      </c>
      <c r="AE89" s="31">
        <f>IF(AP89="2",BG89,0)</f>
        <v>0</v>
      </c>
      <c r="AF89" s="31">
        <f>IF(AP89="2",BH89,0)</f>
        <v>0</v>
      </c>
      <c r="AG89" s="31">
        <f>IF(AP89="0",BI89,0)</f>
        <v>0</v>
      </c>
      <c r="AH89" s="26"/>
      <c r="AI89" s="17">
        <f>IF(AM89=0,J89,0)</f>
        <v>0</v>
      </c>
      <c r="AJ89" s="17">
        <f>IF(AM89=15,J89,0)</f>
        <v>0</v>
      </c>
      <c r="AK89" s="17">
        <f>IF(AM89=21,J89,0)</f>
        <v>0</v>
      </c>
      <c r="AM89" s="31">
        <v>21</v>
      </c>
      <c r="AN89" s="31">
        <f>G89*0.687624705313724</f>
        <v>0</v>
      </c>
      <c r="AO89" s="31">
        <f>G89*(1-0.687624705313724)</f>
        <v>0</v>
      </c>
      <c r="AP89" s="27" t="s">
        <v>7</v>
      </c>
      <c r="AU89" s="31">
        <f>AV89+AW89</f>
        <v>0</v>
      </c>
      <c r="AV89" s="31">
        <f>F89*AN89</f>
        <v>0</v>
      </c>
      <c r="AW89" s="31">
        <f>F89*AO89</f>
        <v>0</v>
      </c>
      <c r="AX89" s="32" t="s">
        <v>1168</v>
      </c>
      <c r="AY89" s="32" t="s">
        <v>1205</v>
      </c>
      <c r="AZ89" s="26" t="s">
        <v>1215</v>
      </c>
      <c r="BB89" s="31">
        <f>AV89+AW89</f>
        <v>0</v>
      </c>
      <c r="BC89" s="31">
        <f>G89/(100-BD89)*100</f>
        <v>0</v>
      </c>
      <c r="BD89" s="31">
        <v>0</v>
      </c>
      <c r="BE89" s="31">
        <f>L89</f>
        <v>11.73115</v>
      </c>
      <c r="BG89" s="17">
        <f>F89*AN89</f>
        <v>0</v>
      </c>
      <c r="BH89" s="17">
        <f>F89*AO89</f>
        <v>0</v>
      </c>
      <c r="BI89" s="17">
        <f>F89*G89</f>
        <v>0</v>
      </c>
    </row>
    <row r="90" spans="1:61" ht="12.75">
      <c r="A90" s="4" t="s">
        <v>70</v>
      </c>
      <c r="B90" s="4"/>
      <c r="C90" s="4" t="s">
        <v>437</v>
      </c>
      <c r="D90" s="71" t="s">
        <v>810</v>
      </c>
      <c r="E90" s="4" t="s">
        <v>1119</v>
      </c>
      <c r="F90" s="17">
        <v>5.05</v>
      </c>
      <c r="G90" s="148">
        <v>0</v>
      </c>
      <c r="H90" s="17">
        <f>F90*AN90</f>
        <v>0</v>
      </c>
      <c r="I90" s="17">
        <f>F90*AO90</f>
        <v>0</v>
      </c>
      <c r="J90" s="17">
        <f>F90*G90</f>
        <v>0</v>
      </c>
      <c r="K90" s="17">
        <v>0</v>
      </c>
      <c r="L90" s="17">
        <f>F90*K90</f>
        <v>0</v>
      </c>
      <c r="Y90" s="31">
        <f>IF(AP90="5",BI90,0)</f>
        <v>0</v>
      </c>
      <c r="AA90" s="31">
        <f>IF(AP90="1",BG90,0)</f>
        <v>0</v>
      </c>
      <c r="AB90" s="31">
        <f>IF(AP90="1",BH90,0)</f>
        <v>0</v>
      </c>
      <c r="AC90" s="31">
        <f>IF(AP90="7",BG90,0)</f>
        <v>0</v>
      </c>
      <c r="AD90" s="31">
        <f>IF(AP90="7",BH90,0)</f>
        <v>0</v>
      </c>
      <c r="AE90" s="31">
        <f>IF(AP90="2",BG90,0)</f>
        <v>0</v>
      </c>
      <c r="AF90" s="31">
        <f>IF(AP90="2",BH90,0)</f>
        <v>0</v>
      </c>
      <c r="AG90" s="31">
        <f>IF(AP90="0",BI90,0)</f>
        <v>0</v>
      </c>
      <c r="AH90" s="26"/>
      <c r="AI90" s="17">
        <f>IF(AM90=0,J90,0)</f>
        <v>0</v>
      </c>
      <c r="AJ90" s="17">
        <f>IF(AM90=15,J90,0)</f>
        <v>0</v>
      </c>
      <c r="AK90" s="17">
        <f>IF(AM90=21,J90,0)</f>
        <v>0</v>
      </c>
      <c r="AM90" s="31">
        <v>21</v>
      </c>
      <c r="AN90" s="31">
        <f>G90*0</f>
        <v>0</v>
      </c>
      <c r="AO90" s="31">
        <f>G90*(1-0)</f>
        <v>0</v>
      </c>
      <c r="AP90" s="27" t="s">
        <v>7</v>
      </c>
      <c r="AU90" s="31">
        <f>AV90+AW90</f>
        <v>0</v>
      </c>
      <c r="AV90" s="31">
        <f>F90*AN90</f>
        <v>0</v>
      </c>
      <c r="AW90" s="31">
        <f>F90*AO90</f>
        <v>0</v>
      </c>
      <c r="AX90" s="32" t="s">
        <v>1168</v>
      </c>
      <c r="AY90" s="32" t="s">
        <v>1205</v>
      </c>
      <c r="AZ90" s="26" t="s">
        <v>1215</v>
      </c>
      <c r="BB90" s="31">
        <f>AV90+AW90</f>
        <v>0</v>
      </c>
      <c r="BC90" s="31">
        <f>G90/(100-BD90)*100</f>
        <v>0</v>
      </c>
      <c r="BD90" s="31">
        <v>0</v>
      </c>
      <c r="BE90" s="31">
        <f>L90</f>
        <v>0</v>
      </c>
      <c r="BG90" s="17">
        <f>F90*AN90</f>
        <v>0</v>
      </c>
      <c r="BH90" s="17">
        <f>F90*AO90</f>
        <v>0</v>
      </c>
      <c r="BI90" s="17">
        <f>F90*G90</f>
        <v>0</v>
      </c>
    </row>
    <row r="91" spans="1:61" ht="12.75">
      <c r="A91" s="4" t="s">
        <v>71</v>
      </c>
      <c r="B91" s="4"/>
      <c r="C91" s="4" t="s">
        <v>438</v>
      </c>
      <c r="D91" s="71" t="s">
        <v>811</v>
      </c>
      <c r="E91" s="4" t="s">
        <v>1122</v>
      </c>
      <c r="F91" s="17">
        <v>0.501</v>
      </c>
      <c r="G91" s="148">
        <v>0</v>
      </c>
      <c r="H91" s="17">
        <f>F91*AN91</f>
        <v>0</v>
      </c>
      <c r="I91" s="17">
        <f>F91*AO91</f>
        <v>0</v>
      </c>
      <c r="J91" s="17">
        <f>F91*G91</f>
        <v>0</v>
      </c>
      <c r="K91" s="17">
        <v>1.06625</v>
      </c>
      <c r="L91" s="17">
        <f>F91*K91</f>
        <v>0.53419125</v>
      </c>
      <c r="Y91" s="31">
        <f>IF(AP91="5",BI91,0)</f>
        <v>0</v>
      </c>
      <c r="AA91" s="31">
        <f>IF(AP91="1",BG91,0)</f>
        <v>0</v>
      </c>
      <c r="AB91" s="31">
        <f>IF(AP91="1",BH91,0)</f>
        <v>0</v>
      </c>
      <c r="AC91" s="31">
        <f>IF(AP91="7",BG91,0)</f>
        <v>0</v>
      </c>
      <c r="AD91" s="31">
        <f>IF(AP91="7",BH91,0)</f>
        <v>0</v>
      </c>
      <c r="AE91" s="31">
        <f>IF(AP91="2",BG91,0)</f>
        <v>0</v>
      </c>
      <c r="AF91" s="31">
        <f>IF(AP91="2",BH91,0)</f>
        <v>0</v>
      </c>
      <c r="AG91" s="31">
        <f>IF(AP91="0",BI91,0)</f>
        <v>0</v>
      </c>
      <c r="AH91" s="26"/>
      <c r="AI91" s="17">
        <f>IF(AM91=0,J91,0)</f>
        <v>0</v>
      </c>
      <c r="AJ91" s="17">
        <f>IF(AM91=15,J91,0)</f>
        <v>0</v>
      </c>
      <c r="AK91" s="17">
        <f>IF(AM91=21,J91,0)</f>
        <v>0</v>
      </c>
      <c r="AM91" s="31">
        <v>21</v>
      </c>
      <c r="AN91" s="31">
        <f>G91*0.807137793301672</f>
        <v>0</v>
      </c>
      <c r="AO91" s="31">
        <f>G91*(1-0.807137793301672)</f>
        <v>0</v>
      </c>
      <c r="AP91" s="27" t="s">
        <v>7</v>
      </c>
      <c r="AU91" s="31">
        <f>AV91+AW91</f>
        <v>0</v>
      </c>
      <c r="AV91" s="31">
        <f>F91*AN91</f>
        <v>0</v>
      </c>
      <c r="AW91" s="31">
        <f>F91*AO91</f>
        <v>0</v>
      </c>
      <c r="AX91" s="32" t="s">
        <v>1168</v>
      </c>
      <c r="AY91" s="32" t="s">
        <v>1205</v>
      </c>
      <c r="AZ91" s="26" t="s">
        <v>1215</v>
      </c>
      <c r="BB91" s="31">
        <f>AV91+AW91</f>
        <v>0</v>
      </c>
      <c r="BC91" s="31">
        <f>G91/(100-BD91)*100</f>
        <v>0</v>
      </c>
      <c r="BD91" s="31">
        <v>0</v>
      </c>
      <c r="BE91" s="31">
        <f>L91</f>
        <v>0.53419125</v>
      </c>
      <c r="BG91" s="17">
        <f>F91*AN91</f>
        <v>0</v>
      </c>
      <c r="BH91" s="17">
        <f>F91*AO91</f>
        <v>0</v>
      </c>
      <c r="BI91" s="17">
        <f>F91*G91</f>
        <v>0</v>
      </c>
    </row>
    <row r="92" spans="1:61" ht="12.75">
      <c r="A92" s="4" t="s">
        <v>72</v>
      </c>
      <c r="B92" s="4"/>
      <c r="C92" s="4" t="s">
        <v>439</v>
      </c>
      <c r="D92" s="71" t="s">
        <v>812</v>
      </c>
      <c r="E92" s="4" t="s">
        <v>1121</v>
      </c>
      <c r="F92" s="17">
        <v>184</v>
      </c>
      <c r="G92" s="148">
        <v>0</v>
      </c>
      <c r="H92" s="17">
        <f>F92*AN92</f>
        <v>0</v>
      </c>
      <c r="I92" s="17">
        <f>F92*AO92</f>
        <v>0</v>
      </c>
      <c r="J92" s="17">
        <f>F92*G92</f>
        <v>0</v>
      </c>
      <c r="K92" s="17">
        <v>2.555</v>
      </c>
      <c r="L92" s="17">
        <f>F92*K92</f>
        <v>470.12</v>
      </c>
      <c r="Y92" s="31">
        <f>IF(AP92="5",BI92,0)</f>
        <v>0</v>
      </c>
      <c r="AA92" s="31">
        <f>IF(AP92="1",BG92,0)</f>
        <v>0</v>
      </c>
      <c r="AB92" s="31">
        <f>IF(AP92="1",BH92,0)</f>
        <v>0</v>
      </c>
      <c r="AC92" s="31">
        <f>IF(AP92="7",BG92,0)</f>
        <v>0</v>
      </c>
      <c r="AD92" s="31">
        <f>IF(AP92="7",BH92,0)</f>
        <v>0</v>
      </c>
      <c r="AE92" s="31">
        <f>IF(AP92="2",BG92,0)</f>
        <v>0</v>
      </c>
      <c r="AF92" s="31">
        <f>IF(AP92="2",BH92,0)</f>
        <v>0</v>
      </c>
      <c r="AG92" s="31">
        <f>IF(AP92="0",BI92,0)</f>
        <v>0</v>
      </c>
      <c r="AH92" s="26"/>
      <c r="AI92" s="17">
        <f>IF(AM92=0,J92,0)</f>
        <v>0</v>
      </c>
      <c r="AJ92" s="17">
        <f>IF(AM92=15,J92,0)</f>
        <v>0</v>
      </c>
      <c r="AK92" s="17">
        <f>IF(AM92=21,J92,0)</f>
        <v>0</v>
      </c>
      <c r="AM92" s="31">
        <v>21</v>
      </c>
      <c r="AN92" s="31">
        <f>G92*0.787890243902439</f>
        <v>0</v>
      </c>
      <c r="AO92" s="31">
        <f>G92*(1-0.787890243902439)</f>
        <v>0</v>
      </c>
      <c r="AP92" s="27" t="s">
        <v>7</v>
      </c>
      <c r="AU92" s="31">
        <f>AV92+AW92</f>
        <v>0</v>
      </c>
      <c r="AV92" s="31">
        <f>F92*AN92</f>
        <v>0</v>
      </c>
      <c r="AW92" s="31">
        <f>F92*AO92</f>
        <v>0</v>
      </c>
      <c r="AX92" s="32" t="s">
        <v>1168</v>
      </c>
      <c r="AY92" s="32" t="s">
        <v>1205</v>
      </c>
      <c r="AZ92" s="26" t="s">
        <v>1215</v>
      </c>
      <c r="BB92" s="31">
        <f>AV92+AW92</f>
        <v>0</v>
      </c>
      <c r="BC92" s="31">
        <f>G92/(100-BD92)*100</f>
        <v>0</v>
      </c>
      <c r="BD92" s="31">
        <v>0</v>
      </c>
      <c r="BE92" s="31">
        <f>L92</f>
        <v>470.12</v>
      </c>
      <c r="BG92" s="17">
        <f>F92*AN92</f>
        <v>0</v>
      </c>
      <c r="BH92" s="17">
        <f>F92*AO92</f>
        <v>0</v>
      </c>
      <c r="BI92" s="17">
        <f>F92*G92</f>
        <v>0</v>
      </c>
    </row>
    <row r="93" spans="1:46" ht="12.75">
      <c r="A93" s="6"/>
      <c r="B93" s="13"/>
      <c r="C93" s="13" t="s">
        <v>70</v>
      </c>
      <c r="D93" s="73" t="s">
        <v>813</v>
      </c>
      <c r="E93" s="6" t="s">
        <v>6</v>
      </c>
      <c r="F93" s="6" t="s">
        <v>6</v>
      </c>
      <c r="G93" s="151" t="s">
        <v>6</v>
      </c>
      <c r="H93" s="34">
        <f>SUM(H94:H100)</f>
        <v>0</v>
      </c>
      <c r="I93" s="34">
        <f>SUM(I94:I100)</f>
        <v>0</v>
      </c>
      <c r="J93" s="34">
        <f>SUM(J94:J100)</f>
        <v>0</v>
      </c>
      <c r="K93" s="26"/>
      <c r="L93" s="34">
        <f>SUM(L94:L100)</f>
        <v>3.25705</v>
      </c>
      <c r="AH93" s="26"/>
      <c r="AR93" s="34">
        <f>SUM(AI94:AI100)</f>
        <v>0</v>
      </c>
      <c r="AS93" s="34">
        <f>SUM(AJ94:AJ100)</f>
        <v>0</v>
      </c>
      <c r="AT93" s="34">
        <f>SUM(AK94:AK100)</f>
        <v>0</v>
      </c>
    </row>
    <row r="94" spans="1:61" ht="25.5">
      <c r="A94" s="4" t="s">
        <v>73</v>
      </c>
      <c r="B94" s="4"/>
      <c r="C94" s="4" t="s">
        <v>440</v>
      </c>
      <c r="D94" s="71" t="s">
        <v>814</v>
      </c>
      <c r="E94" s="4" t="s">
        <v>1120</v>
      </c>
      <c r="F94" s="17">
        <v>15</v>
      </c>
      <c r="G94" s="148">
        <v>0</v>
      </c>
      <c r="H94" s="17">
        <f aca="true" t="shared" si="122" ref="H94:H100">F94*AN94</f>
        <v>0</v>
      </c>
      <c r="I94" s="17">
        <f aca="true" t="shared" si="123" ref="I94:I100">F94*AO94</f>
        <v>0</v>
      </c>
      <c r="J94" s="17">
        <f aca="true" t="shared" si="124" ref="J94:J100">F94*G94</f>
        <v>0</v>
      </c>
      <c r="K94" s="17">
        <v>0.0614</v>
      </c>
      <c r="L94" s="17">
        <f aca="true" t="shared" si="125" ref="L94:L100">F94*K94</f>
        <v>0.921</v>
      </c>
      <c r="Y94" s="31">
        <f aca="true" t="shared" si="126" ref="Y94:Y100">IF(AP94="5",BI94,0)</f>
        <v>0</v>
      </c>
      <c r="AA94" s="31">
        <f aca="true" t="shared" si="127" ref="AA94:AA100">IF(AP94="1",BG94,0)</f>
        <v>0</v>
      </c>
      <c r="AB94" s="31">
        <f aca="true" t="shared" si="128" ref="AB94:AB100">IF(AP94="1",BH94,0)</f>
        <v>0</v>
      </c>
      <c r="AC94" s="31">
        <f aca="true" t="shared" si="129" ref="AC94:AC100">IF(AP94="7",BG94,0)</f>
        <v>0</v>
      </c>
      <c r="AD94" s="31">
        <f aca="true" t="shared" si="130" ref="AD94:AD100">IF(AP94="7",BH94,0)</f>
        <v>0</v>
      </c>
      <c r="AE94" s="31">
        <f aca="true" t="shared" si="131" ref="AE94:AE100">IF(AP94="2",BG94,0)</f>
        <v>0</v>
      </c>
      <c r="AF94" s="31">
        <f aca="true" t="shared" si="132" ref="AF94:AF100">IF(AP94="2",BH94,0)</f>
        <v>0</v>
      </c>
      <c r="AG94" s="31">
        <f aca="true" t="shared" si="133" ref="AG94:AG100">IF(AP94="0",BI94,0)</f>
        <v>0</v>
      </c>
      <c r="AH94" s="26"/>
      <c r="AI94" s="17">
        <f aca="true" t="shared" si="134" ref="AI94:AI100">IF(AM94=0,J94,0)</f>
        <v>0</v>
      </c>
      <c r="AJ94" s="17">
        <f aca="true" t="shared" si="135" ref="AJ94:AJ100">IF(AM94=15,J94,0)</f>
        <v>0</v>
      </c>
      <c r="AK94" s="17">
        <f aca="true" t="shared" si="136" ref="AK94:AK100">IF(AM94=21,J94,0)</f>
        <v>0</v>
      </c>
      <c r="AM94" s="31">
        <v>21</v>
      </c>
      <c r="AN94" s="31">
        <f>G94*0.326127469250839</f>
        <v>0</v>
      </c>
      <c r="AO94" s="31">
        <f>G94*(1-0.326127469250839)</f>
        <v>0</v>
      </c>
      <c r="AP94" s="27" t="s">
        <v>7</v>
      </c>
      <c r="AU94" s="31">
        <f aca="true" t="shared" si="137" ref="AU94:AU100">AV94+AW94</f>
        <v>0</v>
      </c>
      <c r="AV94" s="31">
        <f aca="true" t="shared" si="138" ref="AV94:AV100">F94*AN94</f>
        <v>0</v>
      </c>
      <c r="AW94" s="31">
        <f aca="true" t="shared" si="139" ref="AW94:AW100">F94*AO94</f>
        <v>0</v>
      </c>
      <c r="AX94" s="32" t="s">
        <v>1169</v>
      </c>
      <c r="AY94" s="32" t="s">
        <v>1205</v>
      </c>
      <c r="AZ94" s="26" t="s">
        <v>1215</v>
      </c>
      <c r="BB94" s="31">
        <f aca="true" t="shared" si="140" ref="BB94:BB100">AV94+AW94</f>
        <v>0</v>
      </c>
      <c r="BC94" s="31">
        <f aca="true" t="shared" si="141" ref="BC94:BC100">G94/(100-BD94)*100</f>
        <v>0</v>
      </c>
      <c r="BD94" s="31">
        <v>0</v>
      </c>
      <c r="BE94" s="31">
        <f aca="true" t="shared" si="142" ref="BE94:BE100">L94</f>
        <v>0.921</v>
      </c>
      <c r="BG94" s="17">
        <f aca="true" t="shared" si="143" ref="BG94:BG100">F94*AN94</f>
        <v>0</v>
      </c>
      <c r="BH94" s="17">
        <f aca="true" t="shared" si="144" ref="BH94:BH100">F94*AO94</f>
        <v>0</v>
      </c>
      <c r="BI94" s="17">
        <f aca="true" t="shared" si="145" ref="BI94:BI100">F94*G94</f>
        <v>0</v>
      </c>
    </row>
    <row r="95" spans="1:61" ht="25.5">
      <c r="A95" s="4" t="s">
        <v>74</v>
      </c>
      <c r="B95" s="4"/>
      <c r="C95" s="4" t="s">
        <v>441</v>
      </c>
      <c r="D95" s="71" t="s">
        <v>815</v>
      </c>
      <c r="E95" s="4" t="s">
        <v>1120</v>
      </c>
      <c r="F95" s="17">
        <v>21</v>
      </c>
      <c r="G95" s="148">
        <v>0</v>
      </c>
      <c r="H95" s="17">
        <f t="shared" si="122"/>
        <v>0</v>
      </c>
      <c r="I95" s="17">
        <f t="shared" si="123"/>
        <v>0</v>
      </c>
      <c r="J95" s="17">
        <f t="shared" si="124"/>
        <v>0</v>
      </c>
      <c r="K95" s="17">
        <v>0.03</v>
      </c>
      <c r="L95" s="17">
        <f t="shared" si="125"/>
        <v>0.63</v>
      </c>
      <c r="Y95" s="31">
        <f t="shared" si="126"/>
        <v>0</v>
      </c>
      <c r="AA95" s="31">
        <f t="shared" si="127"/>
        <v>0</v>
      </c>
      <c r="AB95" s="31">
        <f t="shared" si="128"/>
        <v>0</v>
      </c>
      <c r="AC95" s="31">
        <f t="shared" si="129"/>
        <v>0</v>
      </c>
      <c r="AD95" s="31">
        <f t="shared" si="130"/>
        <v>0</v>
      </c>
      <c r="AE95" s="31">
        <f t="shared" si="131"/>
        <v>0</v>
      </c>
      <c r="AF95" s="31">
        <f t="shared" si="132"/>
        <v>0</v>
      </c>
      <c r="AG95" s="31">
        <f t="shared" si="133"/>
        <v>0</v>
      </c>
      <c r="AH95" s="26"/>
      <c r="AI95" s="17">
        <f t="shared" si="134"/>
        <v>0</v>
      </c>
      <c r="AJ95" s="17">
        <f t="shared" si="135"/>
        <v>0</v>
      </c>
      <c r="AK95" s="17">
        <f t="shared" si="136"/>
        <v>0</v>
      </c>
      <c r="AM95" s="31">
        <v>21</v>
      </c>
      <c r="AN95" s="31">
        <f>G95*0.647772248667122</f>
        <v>0</v>
      </c>
      <c r="AO95" s="31">
        <f>G95*(1-0.647772248667122)</f>
        <v>0</v>
      </c>
      <c r="AP95" s="27" t="s">
        <v>7</v>
      </c>
      <c r="AU95" s="31">
        <f t="shared" si="137"/>
        <v>0</v>
      </c>
      <c r="AV95" s="31">
        <f t="shared" si="138"/>
        <v>0</v>
      </c>
      <c r="AW95" s="31">
        <f t="shared" si="139"/>
        <v>0</v>
      </c>
      <c r="AX95" s="32" t="s">
        <v>1169</v>
      </c>
      <c r="AY95" s="32" t="s">
        <v>1205</v>
      </c>
      <c r="AZ95" s="26" t="s">
        <v>1215</v>
      </c>
      <c r="BB95" s="31">
        <f t="shared" si="140"/>
        <v>0</v>
      </c>
      <c r="BC95" s="31">
        <f t="shared" si="141"/>
        <v>0</v>
      </c>
      <c r="BD95" s="31">
        <v>0</v>
      </c>
      <c r="BE95" s="31">
        <f t="shared" si="142"/>
        <v>0.63</v>
      </c>
      <c r="BG95" s="17">
        <f t="shared" si="143"/>
        <v>0</v>
      </c>
      <c r="BH95" s="17">
        <f t="shared" si="144"/>
        <v>0</v>
      </c>
      <c r="BI95" s="17">
        <f t="shared" si="145"/>
        <v>0</v>
      </c>
    </row>
    <row r="96" spans="1:61" ht="12.75">
      <c r="A96" s="4" t="s">
        <v>75</v>
      </c>
      <c r="B96" s="4"/>
      <c r="C96" s="4" t="s">
        <v>442</v>
      </c>
      <c r="D96" s="71" t="s">
        <v>816</v>
      </c>
      <c r="E96" s="4" t="s">
        <v>1120</v>
      </c>
      <c r="F96" s="17">
        <v>3</v>
      </c>
      <c r="G96" s="148">
        <v>0</v>
      </c>
      <c r="H96" s="17">
        <f t="shared" si="122"/>
        <v>0</v>
      </c>
      <c r="I96" s="17">
        <f t="shared" si="123"/>
        <v>0</v>
      </c>
      <c r="J96" s="17">
        <f t="shared" si="124"/>
        <v>0</v>
      </c>
      <c r="K96" s="17">
        <v>0.05605</v>
      </c>
      <c r="L96" s="17">
        <f t="shared" si="125"/>
        <v>0.16815000000000002</v>
      </c>
      <c r="Y96" s="31">
        <f t="shared" si="126"/>
        <v>0</v>
      </c>
      <c r="AA96" s="31">
        <f t="shared" si="127"/>
        <v>0</v>
      </c>
      <c r="AB96" s="31">
        <f t="shared" si="128"/>
        <v>0</v>
      </c>
      <c r="AC96" s="31">
        <f t="shared" si="129"/>
        <v>0</v>
      </c>
      <c r="AD96" s="31">
        <f t="shared" si="130"/>
        <v>0</v>
      </c>
      <c r="AE96" s="31">
        <f t="shared" si="131"/>
        <v>0</v>
      </c>
      <c r="AF96" s="31">
        <f t="shared" si="132"/>
        <v>0</v>
      </c>
      <c r="AG96" s="31">
        <f t="shared" si="133"/>
        <v>0</v>
      </c>
      <c r="AH96" s="26"/>
      <c r="AI96" s="17">
        <f t="shared" si="134"/>
        <v>0</v>
      </c>
      <c r="AJ96" s="17">
        <f t="shared" si="135"/>
        <v>0</v>
      </c>
      <c r="AK96" s="17">
        <f t="shared" si="136"/>
        <v>0</v>
      </c>
      <c r="AM96" s="31">
        <v>21</v>
      </c>
      <c r="AN96" s="31">
        <f>G96*0.864651205879628</f>
        <v>0</v>
      </c>
      <c r="AO96" s="31">
        <f>G96*(1-0.864651205879628)</f>
        <v>0</v>
      </c>
      <c r="AP96" s="27" t="s">
        <v>7</v>
      </c>
      <c r="AU96" s="31">
        <f t="shared" si="137"/>
        <v>0</v>
      </c>
      <c r="AV96" s="31">
        <f t="shared" si="138"/>
        <v>0</v>
      </c>
      <c r="AW96" s="31">
        <f t="shared" si="139"/>
        <v>0</v>
      </c>
      <c r="AX96" s="32" t="s">
        <v>1169</v>
      </c>
      <c r="AY96" s="32" t="s">
        <v>1205</v>
      </c>
      <c r="AZ96" s="26" t="s">
        <v>1215</v>
      </c>
      <c r="BB96" s="31">
        <f t="shared" si="140"/>
        <v>0</v>
      </c>
      <c r="BC96" s="31">
        <f t="shared" si="141"/>
        <v>0</v>
      </c>
      <c r="BD96" s="31">
        <v>0</v>
      </c>
      <c r="BE96" s="31">
        <f t="shared" si="142"/>
        <v>0.16815000000000002</v>
      </c>
      <c r="BG96" s="17">
        <f t="shared" si="143"/>
        <v>0</v>
      </c>
      <c r="BH96" s="17">
        <f t="shared" si="144"/>
        <v>0</v>
      </c>
      <c r="BI96" s="17">
        <f t="shared" si="145"/>
        <v>0</v>
      </c>
    </row>
    <row r="97" spans="1:61" ht="12.75">
      <c r="A97" s="4" t="s">
        <v>76</v>
      </c>
      <c r="B97" s="4"/>
      <c r="C97" s="4" t="s">
        <v>443</v>
      </c>
      <c r="D97" s="71" t="s">
        <v>817</v>
      </c>
      <c r="E97" s="4" t="s">
        <v>1123</v>
      </c>
      <c r="F97" s="17">
        <v>98</v>
      </c>
      <c r="G97" s="148">
        <v>0</v>
      </c>
      <c r="H97" s="17">
        <f t="shared" si="122"/>
        <v>0</v>
      </c>
      <c r="I97" s="17">
        <f t="shared" si="123"/>
        <v>0</v>
      </c>
      <c r="J97" s="17">
        <f t="shared" si="124"/>
        <v>0</v>
      </c>
      <c r="K97" s="17">
        <v>0.00015</v>
      </c>
      <c r="L97" s="17">
        <f t="shared" si="125"/>
        <v>0.0147</v>
      </c>
      <c r="Y97" s="31">
        <f t="shared" si="126"/>
        <v>0</v>
      </c>
      <c r="AA97" s="31">
        <f t="shared" si="127"/>
        <v>0</v>
      </c>
      <c r="AB97" s="31">
        <f t="shared" si="128"/>
        <v>0</v>
      </c>
      <c r="AC97" s="31">
        <f t="shared" si="129"/>
        <v>0</v>
      </c>
      <c r="AD97" s="31">
        <f t="shared" si="130"/>
        <v>0</v>
      </c>
      <c r="AE97" s="31">
        <f t="shared" si="131"/>
        <v>0</v>
      </c>
      <c r="AF97" s="31">
        <f t="shared" si="132"/>
        <v>0</v>
      </c>
      <c r="AG97" s="31">
        <f t="shared" si="133"/>
        <v>0</v>
      </c>
      <c r="AH97" s="26"/>
      <c r="AI97" s="17">
        <f t="shared" si="134"/>
        <v>0</v>
      </c>
      <c r="AJ97" s="17">
        <f t="shared" si="135"/>
        <v>0</v>
      </c>
      <c r="AK97" s="17">
        <f t="shared" si="136"/>
        <v>0</v>
      </c>
      <c r="AM97" s="31">
        <v>21</v>
      </c>
      <c r="AN97" s="31">
        <f>G97*0.426980728051392</f>
        <v>0</v>
      </c>
      <c r="AO97" s="31">
        <f>G97*(1-0.426980728051392)</f>
        <v>0</v>
      </c>
      <c r="AP97" s="27" t="s">
        <v>7</v>
      </c>
      <c r="AU97" s="31">
        <f t="shared" si="137"/>
        <v>0</v>
      </c>
      <c r="AV97" s="31">
        <f t="shared" si="138"/>
        <v>0</v>
      </c>
      <c r="AW97" s="31">
        <f t="shared" si="139"/>
        <v>0</v>
      </c>
      <c r="AX97" s="32" t="s">
        <v>1169</v>
      </c>
      <c r="AY97" s="32" t="s">
        <v>1205</v>
      </c>
      <c r="AZ97" s="26" t="s">
        <v>1215</v>
      </c>
      <c r="BB97" s="31">
        <f t="shared" si="140"/>
        <v>0</v>
      </c>
      <c r="BC97" s="31">
        <f t="shared" si="141"/>
        <v>0</v>
      </c>
      <c r="BD97" s="31">
        <v>0</v>
      </c>
      <c r="BE97" s="31">
        <f t="shared" si="142"/>
        <v>0.0147</v>
      </c>
      <c r="BG97" s="17">
        <f t="shared" si="143"/>
        <v>0</v>
      </c>
      <c r="BH97" s="17">
        <f t="shared" si="144"/>
        <v>0</v>
      </c>
      <c r="BI97" s="17">
        <f t="shared" si="145"/>
        <v>0</v>
      </c>
    </row>
    <row r="98" spans="1:61" ht="12.75">
      <c r="A98" s="5" t="s">
        <v>77</v>
      </c>
      <c r="B98" s="5"/>
      <c r="C98" s="5" t="s">
        <v>444</v>
      </c>
      <c r="D98" s="72" t="s">
        <v>818</v>
      </c>
      <c r="E98" s="5" t="s">
        <v>1121</v>
      </c>
      <c r="F98" s="18">
        <v>28.5</v>
      </c>
      <c r="G98" s="149">
        <v>0</v>
      </c>
      <c r="H98" s="18">
        <f t="shared" si="122"/>
        <v>0</v>
      </c>
      <c r="I98" s="18">
        <f t="shared" si="123"/>
        <v>0</v>
      </c>
      <c r="J98" s="18">
        <f t="shared" si="124"/>
        <v>0</v>
      </c>
      <c r="K98" s="18">
        <v>0.036</v>
      </c>
      <c r="L98" s="18">
        <f t="shared" si="125"/>
        <v>1.026</v>
      </c>
      <c r="Y98" s="31">
        <f t="shared" si="126"/>
        <v>0</v>
      </c>
      <c r="AA98" s="31">
        <f t="shared" si="127"/>
        <v>0</v>
      </c>
      <c r="AB98" s="31">
        <f t="shared" si="128"/>
        <v>0</v>
      </c>
      <c r="AC98" s="31">
        <f t="shared" si="129"/>
        <v>0</v>
      </c>
      <c r="AD98" s="31">
        <f t="shared" si="130"/>
        <v>0</v>
      </c>
      <c r="AE98" s="31">
        <f t="shared" si="131"/>
        <v>0</v>
      </c>
      <c r="AF98" s="31">
        <f t="shared" si="132"/>
        <v>0</v>
      </c>
      <c r="AG98" s="31">
        <f t="shared" si="133"/>
        <v>0</v>
      </c>
      <c r="AH98" s="26"/>
      <c r="AI98" s="18">
        <f t="shared" si="134"/>
        <v>0</v>
      </c>
      <c r="AJ98" s="18">
        <f t="shared" si="135"/>
        <v>0</v>
      </c>
      <c r="AK98" s="18">
        <f t="shared" si="136"/>
        <v>0</v>
      </c>
      <c r="AM98" s="31">
        <v>21</v>
      </c>
      <c r="AN98" s="31">
        <f>G98*1</f>
        <v>0</v>
      </c>
      <c r="AO98" s="31">
        <f>G98*(1-1)</f>
        <v>0</v>
      </c>
      <c r="AP98" s="28" t="s">
        <v>7</v>
      </c>
      <c r="AU98" s="31">
        <f t="shared" si="137"/>
        <v>0</v>
      </c>
      <c r="AV98" s="31">
        <f t="shared" si="138"/>
        <v>0</v>
      </c>
      <c r="AW98" s="31">
        <f t="shared" si="139"/>
        <v>0</v>
      </c>
      <c r="AX98" s="32" t="s">
        <v>1169</v>
      </c>
      <c r="AY98" s="32" t="s">
        <v>1205</v>
      </c>
      <c r="AZ98" s="26" t="s">
        <v>1215</v>
      </c>
      <c r="BB98" s="31">
        <f t="shared" si="140"/>
        <v>0</v>
      </c>
      <c r="BC98" s="31">
        <f t="shared" si="141"/>
        <v>0</v>
      </c>
      <c r="BD98" s="31">
        <v>0</v>
      </c>
      <c r="BE98" s="31">
        <f t="shared" si="142"/>
        <v>1.026</v>
      </c>
      <c r="BG98" s="18">
        <f t="shared" si="143"/>
        <v>0</v>
      </c>
      <c r="BH98" s="18">
        <f t="shared" si="144"/>
        <v>0</v>
      </c>
      <c r="BI98" s="18">
        <f t="shared" si="145"/>
        <v>0</v>
      </c>
    </row>
    <row r="99" spans="1:61" ht="12.75">
      <c r="A99" s="4" t="s">
        <v>78</v>
      </c>
      <c r="B99" s="4"/>
      <c r="C99" s="4" t="s">
        <v>445</v>
      </c>
      <c r="D99" s="71" t="s">
        <v>819</v>
      </c>
      <c r="E99" s="4" t="s">
        <v>1120</v>
      </c>
      <c r="F99" s="17">
        <v>5</v>
      </c>
      <c r="G99" s="148">
        <v>0</v>
      </c>
      <c r="H99" s="17">
        <f t="shared" si="122"/>
        <v>0</v>
      </c>
      <c r="I99" s="17">
        <f t="shared" si="123"/>
        <v>0</v>
      </c>
      <c r="J99" s="17">
        <f t="shared" si="124"/>
        <v>0</v>
      </c>
      <c r="K99" s="17">
        <v>0.09944</v>
      </c>
      <c r="L99" s="17">
        <f t="shared" si="125"/>
        <v>0.4972</v>
      </c>
      <c r="Y99" s="31">
        <f t="shared" si="126"/>
        <v>0</v>
      </c>
      <c r="AA99" s="31">
        <f t="shared" si="127"/>
        <v>0</v>
      </c>
      <c r="AB99" s="31">
        <f t="shared" si="128"/>
        <v>0</v>
      </c>
      <c r="AC99" s="31">
        <f t="shared" si="129"/>
        <v>0</v>
      </c>
      <c r="AD99" s="31">
        <f t="shared" si="130"/>
        <v>0</v>
      </c>
      <c r="AE99" s="31">
        <f t="shared" si="131"/>
        <v>0</v>
      </c>
      <c r="AF99" s="31">
        <f t="shared" si="132"/>
        <v>0</v>
      </c>
      <c r="AG99" s="31">
        <f t="shared" si="133"/>
        <v>0</v>
      </c>
      <c r="AH99" s="26"/>
      <c r="AI99" s="17">
        <f t="shared" si="134"/>
        <v>0</v>
      </c>
      <c r="AJ99" s="17">
        <f t="shared" si="135"/>
        <v>0</v>
      </c>
      <c r="AK99" s="17">
        <f t="shared" si="136"/>
        <v>0</v>
      </c>
      <c r="AM99" s="31">
        <v>21</v>
      </c>
      <c r="AN99" s="31">
        <f>G99*0.594698010849909</f>
        <v>0</v>
      </c>
      <c r="AO99" s="31">
        <f>G99*(1-0.594698010849909)</f>
        <v>0</v>
      </c>
      <c r="AP99" s="27" t="s">
        <v>7</v>
      </c>
      <c r="AU99" s="31">
        <f t="shared" si="137"/>
        <v>0</v>
      </c>
      <c r="AV99" s="31">
        <f t="shared" si="138"/>
        <v>0</v>
      </c>
      <c r="AW99" s="31">
        <f t="shared" si="139"/>
        <v>0</v>
      </c>
      <c r="AX99" s="32" t="s">
        <v>1169</v>
      </c>
      <c r="AY99" s="32" t="s">
        <v>1205</v>
      </c>
      <c r="AZ99" s="26" t="s">
        <v>1215</v>
      </c>
      <c r="BB99" s="31">
        <f t="shared" si="140"/>
        <v>0</v>
      </c>
      <c r="BC99" s="31">
        <f t="shared" si="141"/>
        <v>0</v>
      </c>
      <c r="BD99" s="31">
        <v>0</v>
      </c>
      <c r="BE99" s="31">
        <f t="shared" si="142"/>
        <v>0.4972</v>
      </c>
      <c r="BG99" s="17">
        <f t="shared" si="143"/>
        <v>0</v>
      </c>
      <c r="BH99" s="17">
        <f t="shared" si="144"/>
        <v>0</v>
      </c>
      <c r="BI99" s="17">
        <f t="shared" si="145"/>
        <v>0</v>
      </c>
    </row>
    <row r="100" spans="1:61" ht="12.75">
      <c r="A100" s="4" t="s">
        <v>79</v>
      </c>
      <c r="B100" s="4"/>
      <c r="C100" s="4" t="s">
        <v>446</v>
      </c>
      <c r="D100" s="71" t="s">
        <v>820</v>
      </c>
      <c r="E100" s="4" t="s">
        <v>1121</v>
      </c>
      <c r="F100" s="17">
        <v>1.575</v>
      </c>
      <c r="G100" s="148">
        <v>0</v>
      </c>
      <c r="H100" s="17">
        <f t="shared" si="122"/>
        <v>0</v>
      </c>
      <c r="I100" s="17">
        <f t="shared" si="123"/>
        <v>0</v>
      </c>
      <c r="J100" s="17">
        <f t="shared" si="124"/>
        <v>0</v>
      </c>
      <c r="K100" s="17">
        <v>0</v>
      </c>
      <c r="L100" s="17">
        <f t="shared" si="125"/>
        <v>0</v>
      </c>
      <c r="Y100" s="31">
        <f t="shared" si="126"/>
        <v>0</v>
      </c>
      <c r="AA100" s="31">
        <f t="shared" si="127"/>
        <v>0</v>
      </c>
      <c r="AB100" s="31">
        <f t="shared" si="128"/>
        <v>0</v>
      </c>
      <c r="AC100" s="31">
        <f t="shared" si="129"/>
        <v>0</v>
      </c>
      <c r="AD100" s="31">
        <f t="shared" si="130"/>
        <v>0</v>
      </c>
      <c r="AE100" s="31">
        <f t="shared" si="131"/>
        <v>0</v>
      </c>
      <c r="AF100" s="31">
        <f t="shared" si="132"/>
        <v>0</v>
      </c>
      <c r="AG100" s="31">
        <f t="shared" si="133"/>
        <v>0</v>
      </c>
      <c r="AH100" s="26"/>
      <c r="AI100" s="17">
        <f t="shared" si="134"/>
        <v>0</v>
      </c>
      <c r="AJ100" s="17">
        <f t="shared" si="135"/>
        <v>0</v>
      </c>
      <c r="AK100" s="17">
        <f t="shared" si="136"/>
        <v>0</v>
      </c>
      <c r="AM100" s="31">
        <v>21</v>
      </c>
      <c r="AN100" s="31">
        <f>G100*0.8125</f>
        <v>0</v>
      </c>
      <c r="AO100" s="31">
        <f>G100*(1-0.8125)</f>
        <v>0</v>
      </c>
      <c r="AP100" s="27" t="s">
        <v>7</v>
      </c>
      <c r="AU100" s="31">
        <f t="shared" si="137"/>
        <v>0</v>
      </c>
      <c r="AV100" s="31">
        <f t="shared" si="138"/>
        <v>0</v>
      </c>
      <c r="AW100" s="31">
        <f t="shared" si="139"/>
        <v>0</v>
      </c>
      <c r="AX100" s="32" t="s">
        <v>1169</v>
      </c>
      <c r="AY100" s="32" t="s">
        <v>1205</v>
      </c>
      <c r="AZ100" s="26" t="s">
        <v>1215</v>
      </c>
      <c r="BB100" s="31">
        <f t="shared" si="140"/>
        <v>0</v>
      </c>
      <c r="BC100" s="31">
        <f t="shared" si="141"/>
        <v>0</v>
      </c>
      <c r="BD100" s="31">
        <v>0</v>
      </c>
      <c r="BE100" s="31">
        <f t="shared" si="142"/>
        <v>0</v>
      </c>
      <c r="BG100" s="17">
        <f t="shared" si="143"/>
        <v>0</v>
      </c>
      <c r="BH100" s="17">
        <f t="shared" si="144"/>
        <v>0</v>
      </c>
      <c r="BI100" s="17">
        <f t="shared" si="145"/>
        <v>0</v>
      </c>
    </row>
    <row r="101" spans="1:46" ht="12.75">
      <c r="A101" s="6"/>
      <c r="B101" s="13"/>
      <c r="C101" s="13" t="s">
        <v>447</v>
      </c>
      <c r="D101" s="73" t="s">
        <v>821</v>
      </c>
      <c r="E101" s="6" t="s">
        <v>6</v>
      </c>
      <c r="F101" s="6" t="s">
        <v>6</v>
      </c>
      <c r="G101" s="151" t="s">
        <v>6</v>
      </c>
      <c r="H101" s="34">
        <f>SUM(H102:H103)</f>
        <v>0</v>
      </c>
      <c r="I101" s="34">
        <f>SUM(I102:I103)</f>
        <v>0</v>
      </c>
      <c r="J101" s="34">
        <f>SUM(J102:J103)</f>
        <v>0</v>
      </c>
      <c r="K101" s="26"/>
      <c r="L101" s="34">
        <f>SUM(L102:L103)</f>
        <v>0.9011425000000001</v>
      </c>
      <c r="AH101" s="26"/>
      <c r="AR101" s="34">
        <f>SUM(AI102:AI103)</f>
        <v>0</v>
      </c>
      <c r="AS101" s="34">
        <f>SUM(AJ102:AJ103)</f>
        <v>0</v>
      </c>
      <c r="AT101" s="34">
        <f>SUM(AK102:AK103)</f>
        <v>0</v>
      </c>
    </row>
    <row r="102" spans="1:61" ht="12.75">
      <c r="A102" s="4" t="s">
        <v>80</v>
      </c>
      <c r="B102" s="4"/>
      <c r="C102" s="4" t="s">
        <v>448</v>
      </c>
      <c r="D102" s="71" t="s">
        <v>822</v>
      </c>
      <c r="E102" s="4" t="s">
        <v>1120</v>
      </c>
      <c r="F102" s="17">
        <v>2</v>
      </c>
      <c r="G102" s="148">
        <v>0</v>
      </c>
      <c r="H102" s="17">
        <f>F102*AN102</f>
        <v>0</v>
      </c>
      <c r="I102" s="17">
        <f>F102*AO102</f>
        <v>0</v>
      </c>
      <c r="J102" s="17">
        <f>F102*G102</f>
        <v>0</v>
      </c>
      <c r="K102" s="17">
        <v>0.00034</v>
      </c>
      <c r="L102" s="17">
        <f>F102*K102</f>
        <v>0.00068</v>
      </c>
      <c r="Y102" s="31">
        <f>IF(AP102="5",BI102,0)</f>
        <v>0</v>
      </c>
      <c r="AA102" s="31">
        <f>IF(AP102="1",BG102,0)</f>
        <v>0</v>
      </c>
      <c r="AB102" s="31">
        <f>IF(AP102="1",BH102,0)</f>
        <v>0</v>
      </c>
      <c r="AC102" s="31">
        <f>IF(AP102="7",BG102,0)</f>
        <v>0</v>
      </c>
      <c r="AD102" s="31">
        <f>IF(AP102="7",BH102,0)</f>
        <v>0</v>
      </c>
      <c r="AE102" s="31">
        <f>IF(AP102="2",BG102,0)</f>
        <v>0</v>
      </c>
      <c r="AF102" s="31">
        <f>IF(AP102="2",BH102,0)</f>
        <v>0</v>
      </c>
      <c r="AG102" s="31">
        <f>IF(AP102="0",BI102,0)</f>
        <v>0</v>
      </c>
      <c r="AH102" s="26"/>
      <c r="AI102" s="17">
        <f>IF(AM102=0,J102,0)</f>
        <v>0</v>
      </c>
      <c r="AJ102" s="17">
        <f>IF(AM102=15,J102,0)</f>
        <v>0</v>
      </c>
      <c r="AK102" s="17">
        <f>IF(AM102=21,J102,0)</f>
        <v>0</v>
      </c>
      <c r="AM102" s="31">
        <v>21</v>
      </c>
      <c r="AN102" s="31">
        <f>G102*0.0820997729873736</f>
        <v>0</v>
      </c>
      <c r="AO102" s="31">
        <f>G102*(1-0.0820997729873736)</f>
        <v>0</v>
      </c>
      <c r="AP102" s="27" t="s">
        <v>13</v>
      </c>
      <c r="AU102" s="31">
        <f>AV102+AW102</f>
        <v>0</v>
      </c>
      <c r="AV102" s="31">
        <f>F102*AN102</f>
        <v>0</v>
      </c>
      <c r="AW102" s="31">
        <f>F102*AO102</f>
        <v>0</v>
      </c>
      <c r="AX102" s="32" t="s">
        <v>1170</v>
      </c>
      <c r="AY102" s="32" t="s">
        <v>1206</v>
      </c>
      <c r="AZ102" s="26" t="s">
        <v>1215</v>
      </c>
      <c r="BB102" s="31">
        <f>AV102+AW102</f>
        <v>0</v>
      </c>
      <c r="BC102" s="31">
        <f>G102/(100-BD102)*100</f>
        <v>0</v>
      </c>
      <c r="BD102" s="31">
        <v>0</v>
      </c>
      <c r="BE102" s="31">
        <f>L102</f>
        <v>0.00068</v>
      </c>
      <c r="BG102" s="17">
        <f>F102*AN102</f>
        <v>0</v>
      </c>
      <c r="BH102" s="17">
        <f>F102*AO102</f>
        <v>0</v>
      </c>
      <c r="BI102" s="17">
        <f>F102*G102</f>
        <v>0</v>
      </c>
    </row>
    <row r="103" spans="1:61" ht="12.75">
      <c r="A103" s="4" t="s">
        <v>81</v>
      </c>
      <c r="B103" s="4"/>
      <c r="C103" s="4" t="s">
        <v>449</v>
      </c>
      <c r="D103" s="71" t="s">
        <v>823</v>
      </c>
      <c r="E103" s="4" t="s">
        <v>1121</v>
      </c>
      <c r="F103" s="17">
        <v>313.75</v>
      </c>
      <c r="G103" s="148">
        <v>0</v>
      </c>
      <c r="H103" s="17">
        <f>F103*AN103</f>
        <v>0</v>
      </c>
      <c r="I103" s="17">
        <f>F103*AO103</f>
        <v>0</v>
      </c>
      <c r="J103" s="17">
        <f>F103*G103</f>
        <v>0</v>
      </c>
      <c r="K103" s="17">
        <v>0.00287</v>
      </c>
      <c r="L103" s="17">
        <f>F103*K103</f>
        <v>0.9004625</v>
      </c>
      <c r="Y103" s="31">
        <f>IF(AP103="5",BI103,0)</f>
        <v>0</v>
      </c>
      <c r="AA103" s="31">
        <f>IF(AP103="1",BG103,0)</f>
        <v>0</v>
      </c>
      <c r="AB103" s="31">
        <f>IF(AP103="1",BH103,0)</f>
        <v>0</v>
      </c>
      <c r="AC103" s="31">
        <f>IF(AP103="7",BG103,0)</f>
        <v>0</v>
      </c>
      <c r="AD103" s="31">
        <f>IF(AP103="7",BH103,0)</f>
        <v>0</v>
      </c>
      <c r="AE103" s="31">
        <f>IF(AP103="2",BG103,0)</f>
        <v>0</v>
      </c>
      <c r="AF103" s="31">
        <f>IF(AP103="2",BH103,0)</f>
        <v>0</v>
      </c>
      <c r="AG103" s="31">
        <f>IF(AP103="0",BI103,0)</f>
        <v>0</v>
      </c>
      <c r="AH103" s="26"/>
      <c r="AI103" s="17">
        <f>IF(AM103=0,J103,0)</f>
        <v>0</v>
      </c>
      <c r="AJ103" s="17">
        <f>IF(AM103=15,J103,0)</f>
        <v>0</v>
      </c>
      <c r="AK103" s="17">
        <f>IF(AM103=21,J103,0)</f>
        <v>0</v>
      </c>
      <c r="AM103" s="31">
        <v>21</v>
      </c>
      <c r="AN103" s="31">
        <f>G103*0.570316091954023</f>
        <v>0</v>
      </c>
      <c r="AO103" s="31">
        <f>G103*(1-0.570316091954023)</f>
        <v>0</v>
      </c>
      <c r="AP103" s="27" t="s">
        <v>13</v>
      </c>
      <c r="AU103" s="31">
        <f>AV103+AW103</f>
        <v>0</v>
      </c>
      <c r="AV103" s="31">
        <f>F103*AN103</f>
        <v>0</v>
      </c>
      <c r="AW103" s="31">
        <f>F103*AO103</f>
        <v>0</v>
      </c>
      <c r="AX103" s="32" t="s">
        <v>1170</v>
      </c>
      <c r="AY103" s="32" t="s">
        <v>1206</v>
      </c>
      <c r="AZ103" s="26" t="s">
        <v>1215</v>
      </c>
      <c r="BB103" s="31">
        <f>AV103+AW103</f>
        <v>0</v>
      </c>
      <c r="BC103" s="31">
        <f>G103/(100-BD103)*100</f>
        <v>0</v>
      </c>
      <c r="BD103" s="31">
        <v>0</v>
      </c>
      <c r="BE103" s="31">
        <f>L103</f>
        <v>0.9004625</v>
      </c>
      <c r="BG103" s="17">
        <f>F103*AN103</f>
        <v>0</v>
      </c>
      <c r="BH103" s="17">
        <f>F103*AO103</f>
        <v>0</v>
      </c>
      <c r="BI103" s="17">
        <f>F103*G103</f>
        <v>0</v>
      </c>
    </row>
    <row r="104" spans="1:46" ht="12.75">
      <c r="A104" s="6"/>
      <c r="B104" s="13"/>
      <c r="C104" s="13" t="s">
        <v>450</v>
      </c>
      <c r="D104" s="73" t="s">
        <v>824</v>
      </c>
      <c r="E104" s="6" t="s">
        <v>6</v>
      </c>
      <c r="F104" s="6" t="s">
        <v>6</v>
      </c>
      <c r="G104" s="151" t="s">
        <v>6</v>
      </c>
      <c r="H104" s="34">
        <f>SUM(H105:H106)</f>
        <v>0</v>
      </c>
      <c r="I104" s="34">
        <f>SUM(I105:I106)</f>
        <v>0</v>
      </c>
      <c r="J104" s="34">
        <f>SUM(J105:J106)</f>
        <v>0</v>
      </c>
      <c r="K104" s="26"/>
      <c r="L104" s="34">
        <f>SUM(L105:L106)</f>
        <v>0.101</v>
      </c>
      <c r="AH104" s="26"/>
      <c r="AR104" s="34">
        <f>SUM(AI105:AI106)</f>
        <v>0</v>
      </c>
      <c r="AS104" s="34">
        <f>SUM(AJ105:AJ106)</f>
        <v>0</v>
      </c>
      <c r="AT104" s="34">
        <f>SUM(AK105:AK106)</f>
        <v>0</v>
      </c>
    </row>
    <row r="105" spans="1:61" ht="12.75">
      <c r="A105" s="4" t="s">
        <v>82</v>
      </c>
      <c r="B105" s="4"/>
      <c r="C105" s="4" t="s">
        <v>451</v>
      </c>
      <c r="D105" s="71" t="s">
        <v>825</v>
      </c>
      <c r="E105" s="4" t="s">
        <v>1121</v>
      </c>
      <c r="F105" s="17">
        <v>101</v>
      </c>
      <c r="G105" s="148">
        <v>0</v>
      </c>
      <c r="H105" s="17">
        <f>F105*AN105</f>
        <v>0</v>
      </c>
      <c r="I105" s="17">
        <f>F105*AO105</f>
        <v>0</v>
      </c>
      <c r="J105" s="17">
        <f>F105*G105</f>
        <v>0</v>
      </c>
      <c r="K105" s="17">
        <v>0.00083</v>
      </c>
      <c r="L105" s="17">
        <f>F105*K105</f>
        <v>0.08383</v>
      </c>
      <c r="Y105" s="31">
        <f>IF(AP105="5",BI105,0)</f>
        <v>0</v>
      </c>
      <c r="AA105" s="31">
        <f>IF(AP105="1",BG105,0)</f>
        <v>0</v>
      </c>
      <c r="AB105" s="31">
        <f>IF(AP105="1",BH105,0)</f>
        <v>0</v>
      </c>
      <c r="AC105" s="31">
        <f>IF(AP105="7",BG105,0)</f>
        <v>0</v>
      </c>
      <c r="AD105" s="31">
        <f>IF(AP105="7",BH105,0)</f>
        <v>0</v>
      </c>
      <c r="AE105" s="31">
        <f>IF(AP105="2",BG105,0)</f>
        <v>0</v>
      </c>
      <c r="AF105" s="31">
        <f>IF(AP105="2",BH105,0)</f>
        <v>0</v>
      </c>
      <c r="AG105" s="31">
        <f>IF(AP105="0",BI105,0)</f>
        <v>0</v>
      </c>
      <c r="AH105" s="26"/>
      <c r="AI105" s="17">
        <f>IF(AM105=0,J105,0)</f>
        <v>0</v>
      </c>
      <c r="AJ105" s="17">
        <f>IF(AM105=15,J105,0)</f>
        <v>0</v>
      </c>
      <c r="AK105" s="17">
        <f>IF(AM105=21,J105,0)</f>
        <v>0</v>
      </c>
      <c r="AM105" s="31">
        <v>21</v>
      </c>
      <c r="AN105" s="31">
        <f>G105*0.902102973168963</f>
        <v>0</v>
      </c>
      <c r="AO105" s="31">
        <f>G105*(1-0.902102973168963)</f>
        <v>0</v>
      </c>
      <c r="AP105" s="27" t="s">
        <v>13</v>
      </c>
      <c r="AU105" s="31">
        <f>AV105+AW105</f>
        <v>0</v>
      </c>
      <c r="AV105" s="31">
        <f>F105*AN105</f>
        <v>0</v>
      </c>
      <c r="AW105" s="31">
        <f>F105*AO105</f>
        <v>0</v>
      </c>
      <c r="AX105" s="32" t="s">
        <v>1171</v>
      </c>
      <c r="AY105" s="32" t="s">
        <v>1206</v>
      </c>
      <c r="AZ105" s="26" t="s">
        <v>1215</v>
      </c>
      <c r="BB105" s="31">
        <f>AV105+AW105</f>
        <v>0</v>
      </c>
      <c r="BC105" s="31">
        <f>G105/(100-BD105)*100</f>
        <v>0</v>
      </c>
      <c r="BD105" s="31">
        <v>0</v>
      </c>
      <c r="BE105" s="31">
        <f>L105</f>
        <v>0.08383</v>
      </c>
      <c r="BG105" s="17">
        <f>F105*AN105</f>
        <v>0</v>
      </c>
      <c r="BH105" s="17">
        <f>F105*AO105</f>
        <v>0</v>
      </c>
      <c r="BI105" s="17">
        <f>F105*G105</f>
        <v>0</v>
      </c>
    </row>
    <row r="106" spans="1:61" ht="12.75">
      <c r="A106" s="4" t="s">
        <v>83</v>
      </c>
      <c r="B106" s="4"/>
      <c r="C106" s="4" t="s">
        <v>452</v>
      </c>
      <c r="D106" s="71" t="s">
        <v>826</v>
      </c>
      <c r="E106" s="4" t="s">
        <v>1121</v>
      </c>
      <c r="F106" s="17">
        <v>101</v>
      </c>
      <c r="G106" s="148">
        <v>0</v>
      </c>
      <c r="H106" s="17">
        <f>F106*AN106</f>
        <v>0</v>
      </c>
      <c r="I106" s="17">
        <f>F106*AO106</f>
        <v>0</v>
      </c>
      <c r="J106" s="17">
        <f>F106*G106</f>
        <v>0</v>
      </c>
      <c r="K106" s="17">
        <v>0.00017</v>
      </c>
      <c r="L106" s="17">
        <f>F106*K106</f>
        <v>0.01717</v>
      </c>
      <c r="Y106" s="31">
        <f>IF(AP106="5",BI106,0)</f>
        <v>0</v>
      </c>
      <c r="AA106" s="31">
        <f>IF(AP106="1",BG106,0)</f>
        <v>0</v>
      </c>
      <c r="AB106" s="31">
        <f>IF(AP106="1",BH106,0)</f>
        <v>0</v>
      </c>
      <c r="AC106" s="31">
        <f>IF(AP106="7",BG106,0)</f>
        <v>0</v>
      </c>
      <c r="AD106" s="31">
        <f>IF(AP106="7",BH106,0)</f>
        <v>0</v>
      </c>
      <c r="AE106" s="31">
        <f>IF(AP106="2",BG106,0)</f>
        <v>0</v>
      </c>
      <c r="AF106" s="31">
        <f>IF(AP106="2",BH106,0)</f>
        <v>0</v>
      </c>
      <c r="AG106" s="31">
        <f>IF(AP106="0",BI106,0)</f>
        <v>0</v>
      </c>
      <c r="AH106" s="26"/>
      <c r="AI106" s="17">
        <f>IF(AM106=0,J106,0)</f>
        <v>0</v>
      </c>
      <c r="AJ106" s="17">
        <f>IF(AM106=15,J106,0)</f>
        <v>0</v>
      </c>
      <c r="AK106" s="17">
        <f>IF(AM106=21,J106,0)</f>
        <v>0</v>
      </c>
      <c r="AM106" s="31">
        <v>21</v>
      </c>
      <c r="AN106" s="31">
        <f>G106*0.534864065361318</f>
        <v>0</v>
      </c>
      <c r="AO106" s="31">
        <f>G106*(1-0.534864065361318)</f>
        <v>0</v>
      </c>
      <c r="AP106" s="27" t="s">
        <v>13</v>
      </c>
      <c r="AU106" s="31">
        <f>AV106+AW106</f>
        <v>0</v>
      </c>
      <c r="AV106" s="31">
        <f>F106*AN106</f>
        <v>0</v>
      </c>
      <c r="AW106" s="31">
        <f>F106*AO106</f>
        <v>0</v>
      </c>
      <c r="AX106" s="32" t="s">
        <v>1171</v>
      </c>
      <c r="AY106" s="32" t="s">
        <v>1206</v>
      </c>
      <c r="AZ106" s="26" t="s">
        <v>1215</v>
      </c>
      <c r="BB106" s="31">
        <f>AV106+AW106</f>
        <v>0</v>
      </c>
      <c r="BC106" s="31">
        <f>G106/(100-BD106)*100</f>
        <v>0</v>
      </c>
      <c r="BD106" s="31">
        <v>0</v>
      </c>
      <c r="BE106" s="31">
        <f>L106</f>
        <v>0.01717</v>
      </c>
      <c r="BG106" s="17">
        <f>F106*AN106</f>
        <v>0</v>
      </c>
      <c r="BH106" s="17">
        <f>F106*AO106</f>
        <v>0</v>
      </c>
      <c r="BI106" s="17">
        <f>F106*G106</f>
        <v>0</v>
      </c>
    </row>
    <row r="107" spans="1:46" ht="12.75">
      <c r="A107" s="6"/>
      <c r="B107" s="13"/>
      <c r="C107" s="13" t="s">
        <v>453</v>
      </c>
      <c r="D107" s="73" t="s">
        <v>827</v>
      </c>
      <c r="E107" s="6" t="s">
        <v>6</v>
      </c>
      <c r="F107" s="6" t="s">
        <v>6</v>
      </c>
      <c r="G107" s="151" t="s">
        <v>6</v>
      </c>
      <c r="H107" s="34">
        <f>SUM(H108:H115)</f>
        <v>0</v>
      </c>
      <c r="I107" s="34">
        <f>SUM(I108:I115)</f>
        <v>0</v>
      </c>
      <c r="J107" s="34">
        <f>SUM(J108:J115)</f>
        <v>0</v>
      </c>
      <c r="K107" s="26"/>
      <c r="L107" s="34">
        <f>SUM(L108:L115)</f>
        <v>8.000317</v>
      </c>
      <c r="AH107" s="26"/>
      <c r="AR107" s="34">
        <f>SUM(AI108:AI115)</f>
        <v>0</v>
      </c>
      <c r="AS107" s="34">
        <f>SUM(AJ108:AJ115)</f>
        <v>0</v>
      </c>
      <c r="AT107" s="34">
        <f>SUM(AK108:AK115)</f>
        <v>0</v>
      </c>
    </row>
    <row r="108" spans="1:61" ht="12.75">
      <c r="A108" s="4" t="s">
        <v>84</v>
      </c>
      <c r="B108" s="4"/>
      <c r="C108" s="4" t="s">
        <v>454</v>
      </c>
      <c r="D108" s="71" t="s">
        <v>828</v>
      </c>
      <c r="E108" s="4" t="s">
        <v>1121</v>
      </c>
      <c r="F108" s="17">
        <v>604.7</v>
      </c>
      <c r="G108" s="148">
        <v>0</v>
      </c>
      <c r="H108" s="17">
        <f aca="true" t="shared" si="146" ref="H108:H115">F108*AN108</f>
        <v>0</v>
      </c>
      <c r="I108" s="17">
        <f aca="true" t="shared" si="147" ref="I108:I115">F108*AO108</f>
        <v>0</v>
      </c>
      <c r="J108" s="17">
        <f aca="true" t="shared" si="148" ref="J108:J115">F108*G108</f>
        <v>0</v>
      </c>
      <c r="K108" s="17">
        <v>1E-05</v>
      </c>
      <c r="L108" s="17">
        <f aca="true" t="shared" si="149" ref="L108:L115">F108*K108</f>
        <v>0.006047000000000001</v>
      </c>
      <c r="Y108" s="31">
        <f aca="true" t="shared" si="150" ref="Y108:Y115">IF(AP108="5",BI108,0)</f>
        <v>0</v>
      </c>
      <c r="AA108" s="31">
        <f aca="true" t="shared" si="151" ref="AA108:AA115">IF(AP108="1",BG108,0)</f>
        <v>0</v>
      </c>
      <c r="AB108" s="31">
        <f aca="true" t="shared" si="152" ref="AB108:AB115">IF(AP108="1",BH108,0)</f>
        <v>0</v>
      </c>
      <c r="AC108" s="31">
        <f aca="true" t="shared" si="153" ref="AC108:AC115">IF(AP108="7",BG108,0)</f>
        <v>0</v>
      </c>
      <c r="AD108" s="31">
        <f aca="true" t="shared" si="154" ref="AD108:AD115">IF(AP108="7",BH108,0)</f>
        <v>0</v>
      </c>
      <c r="AE108" s="31">
        <f aca="true" t="shared" si="155" ref="AE108:AE115">IF(AP108="2",BG108,0)</f>
        <v>0</v>
      </c>
      <c r="AF108" s="31">
        <f aca="true" t="shared" si="156" ref="AF108:AF115">IF(AP108="2",BH108,0)</f>
        <v>0</v>
      </c>
      <c r="AG108" s="31">
        <f aca="true" t="shared" si="157" ref="AG108:AG115">IF(AP108="0",BI108,0)</f>
        <v>0</v>
      </c>
      <c r="AH108" s="26"/>
      <c r="AI108" s="17">
        <f aca="true" t="shared" si="158" ref="AI108:AI115">IF(AM108=0,J108,0)</f>
        <v>0</v>
      </c>
      <c r="AJ108" s="17">
        <f aca="true" t="shared" si="159" ref="AJ108:AJ115">IF(AM108=15,J108,0)</f>
        <v>0</v>
      </c>
      <c r="AK108" s="17">
        <f aca="true" t="shared" si="160" ref="AK108:AK115">IF(AM108=21,J108,0)</f>
        <v>0</v>
      </c>
      <c r="AM108" s="31">
        <v>21</v>
      </c>
      <c r="AN108" s="31">
        <f>G108*0.160110228155127</f>
        <v>0</v>
      </c>
      <c r="AO108" s="31">
        <f>G108*(1-0.160110228155127)</f>
        <v>0</v>
      </c>
      <c r="AP108" s="27" t="s">
        <v>13</v>
      </c>
      <c r="AU108" s="31">
        <f aca="true" t="shared" si="161" ref="AU108:AU115">AV108+AW108</f>
        <v>0</v>
      </c>
      <c r="AV108" s="31">
        <f aca="true" t="shared" si="162" ref="AV108:AV115">F108*AN108</f>
        <v>0</v>
      </c>
      <c r="AW108" s="31">
        <f aca="true" t="shared" si="163" ref="AW108:AW115">F108*AO108</f>
        <v>0</v>
      </c>
      <c r="AX108" s="32" t="s">
        <v>1172</v>
      </c>
      <c r="AY108" s="32" t="s">
        <v>1206</v>
      </c>
      <c r="AZ108" s="26" t="s">
        <v>1215</v>
      </c>
      <c r="BB108" s="31">
        <f aca="true" t="shared" si="164" ref="BB108:BB115">AV108+AW108</f>
        <v>0</v>
      </c>
      <c r="BC108" s="31">
        <f aca="true" t="shared" si="165" ref="BC108:BC115">G108/(100-BD108)*100</f>
        <v>0</v>
      </c>
      <c r="BD108" s="31">
        <v>0</v>
      </c>
      <c r="BE108" s="31">
        <f aca="true" t="shared" si="166" ref="BE108:BE115">L108</f>
        <v>0.006047000000000001</v>
      </c>
      <c r="BG108" s="17">
        <f aca="true" t="shared" si="167" ref="BG108:BG115">F108*AN108</f>
        <v>0</v>
      </c>
      <c r="BH108" s="17">
        <f aca="true" t="shared" si="168" ref="BH108:BH115">F108*AO108</f>
        <v>0</v>
      </c>
      <c r="BI108" s="17">
        <f aca="true" t="shared" si="169" ref="BI108:BI115">F108*G108</f>
        <v>0</v>
      </c>
    </row>
    <row r="109" spans="1:61" ht="12.75">
      <c r="A109" s="4" t="s">
        <v>85</v>
      </c>
      <c r="B109" s="4"/>
      <c r="C109" s="4" t="s">
        <v>455</v>
      </c>
      <c r="D109" s="71" t="s">
        <v>829</v>
      </c>
      <c r="E109" s="4" t="s">
        <v>1121</v>
      </c>
      <c r="F109" s="17">
        <v>75.8</v>
      </c>
      <c r="G109" s="148">
        <v>0</v>
      </c>
      <c r="H109" s="17">
        <f t="shared" si="146"/>
        <v>0</v>
      </c>
      <c r="I109" s="17">
        <f t="shared" si="147"/>
        <v>0</v>
      </c>
      <c r="J109" s="17">
        <f t="shared" si="148"/>
        <v>0</v>
      </c>
      <c r="K109" s="17">
        <v>0.003</v>
      </c>
      <c r="L109" s="17">
        <f t="shared" si="149"/>
        <v>0.2274</v>
      </c>
      <c r="Y109" s="31">
        <f t="shared" si="150"/>
        <v>0</v>
      </c>
      <c r="AA109" s="31">
        <f t="shared" si="151"/>
        <v>0</v>
      </c>
      <c r="AB109" s="31">
        <f t="shared" si="152"/>
        <v>0</v>
      </c>
      <c r="AC109" s="31">
        <f t="shared" si="153"/>
        <v>0</v>
      </c>
      <c r="AD109" s="31">
        <f t="shared" si="154"/>
        <v>0</v>
      </c>
      <c r="AE109" s="31">
        <f t="shared" si="155"/>
        <v>0</v>
      </c>
      <c r="AF109" s="31">
        <f t="shared" si="156"/>
        <v>0</v>
      </c>
      <c r="AG109" s="31">
        <f t="shared" si="157"/>
        <v>0</v>
      </c>
      <c r="AH109" s="26"/>
      <c r="AI109" s="17">
        <f t="shared" si="158"/>
        <v>0</v>
      </c>
      <c r="AJ109" s="17">
        <f t="shared" si="159"/>
        <v>0</v>
      </c>
      <c r="AK109" s="17">
        <f t="shared" si="160"/>
        <v>0</v>
      </c>
      <c r="AM109" s="31">
        <v>21</v>
      </c>
      <c r="AN109" s="31">
        <f>G109*0.734374766792938</f>
        <v>0</v>
      </c>
      <c r="AO109" s="31">
        <f>G109*(1-0.734374766792938)</f>
        <v>0</v>
      </c>
      <c r="AP109" s="27" t="s">
        <v>13</v>
      </c>
      <c r="AU109" s="31">
        <f t="shared" si="161"/>
        <v>0</v>
      </c>
      <c r="AV109" s="31">
        <f t="shared" si="162"/>
        <v>0</v>
      </c>
      <c r="AW109" s="31">
        <f t="shared" si="163"/>
        <v>0</v>
      </c>
      <c r="AX109" s="32" t="s">
        <v>1172</v>
      </c>
      <c r="AY109" s="32" t="s">
        <v>1206</v>
      </c>
      <c r="AZ109" s="26" t="s">
        <v>1215</v>
      </c>
      <c r="BB109" s="31">
        <f t="shared" si="164"/>
        <v>0</v>
      </c>
      <c r="BC109" s="31">
        <f t="shared" si="165"/>
        <v>0</v>
      </c>
      <c r="BD109" s="31">
        <v>0</v>
      </c>
      <c r="BE109" s="31">
        <f t="shared" si="166"/>
        <v>0.2274</v>
      </c>
      <c r="BG109" s="17">
        <f t="shared" si="167"/>
        <v>0</v>
      </c>
      <c r="BH109" s="17">
        <f t="shared" si="168"/>
        <v>0</v>
      </c>
      <c r="BI109" s="17">
        <f t="shared" si="169"/>
        <v>0</v>
      </c>
    </row>
    <row r="110" spans="1:61" ht="12.75">
      <c r="A110" s="4" t="s">
        <v>86</v>
      </c>
      <c r="B110" s="4"/>
      <c r="C110" s="4" t="s">
        <v>456</v>
      </c>
      <c r="D110" s="71" t="s">
        <v>830</v>
      </c>
      <c r="E110" s="4" t="s">
        <v>1123</v>
      </c>
      <c r="F110" s="17">
        <v>80.2</v>
      </c>
      <c r="G110" s="148">
        <v>0</v>
      </c>
      <c r="H110" s="17">
        <f t="shared" si="146"/>
        <v>0</v>
      </c>
      <c r="I110" s="17">
        <f t="shared" si="147"/>
        <v>0</v>
      </c>
      <c r="J110" s="17">
        <f t="shared" si="148"/>
        <v>0</v>
      </c>
      <c r="K110" s="17">
        <v>0</v>
      </c>
      <c r="L110" s="17">
        <f t="shared" si="149"/>
        <v>0</v>
      </c>
      <c r="Y110" s="31">
        <f t="shared" si="150"/>
        <v>0</v>
      </c>
      <c r="AA110" s="31">
        <f t="shared" si="151"/>
        <v>0</v>
      </c>
      <c r="AB110" s="31">
        <f t="shared" si="152"/>
        <v>0</v>
      </c>
      <c r="AC110" s="31">
        <f t="shared" si="153"/>
        <v>0</v>
      </c>
      <c r="AD110" s="31">
        <f t="shared" si="154"/>
        <v>0</v>
      </c>
      <c r="AE110" s="31">
        <f t="shared" si="155"/>
        <v>0</v>
      </c>
      <c r="AF110" s="31">
        <f t="shared" si="156"/>
        <v>0</v>
      </c>
      <c r="AG110" s="31">
        <f t="shared" si="157"/>
        <v>0</v>
      </c>
      <c r="AH110" s="26"/>
      <c r="AI110" s="17">
        <f t="shared" si="158"/>
        <v>0</v>
      </c>
      <c r="AJ110" s="17">
        <f t="shared" si="159"/>
        <v>0</v>
      </c>
      <c r="AK110" s="17">
        <f t="shared" si="160"/>
        <v>0</v>
      </c>
      <c r="AM110" s="31">
        <v>21</v>
      </c>
      <c r="AN110" s="31">
        <f>G110*0.252798616677324</f>
        <v>0</v>
      </c>
      <c r="AO110" s="31">
        <f>G110*(1-0.252798616677324)</f>
        <v>0</v>
      </c>
      <c r="AP110" s="27" t="s">
        <v>13</v>
      </c>
      <c r="AU110" s="31">
        <f t="shared" si="161"/>
        <v>0</v>
      </c>
      <c r="AV110" s="31">
        <f t="shared" si="162"/>
        <v>0</v>
      </c>
      <c r="AW110" s="31">
        <f t="shared" si="163"/>
        <v>0</v>
      </c>
      <c r="AX110" s="32" t="s">
        <v>1172</v>
      </c>
      <c r="AY110" s="32" t="s">
        <v>1206</v>
      </c>
      <c r="AZ110" s="26" t="s">
        <v>1215</v>
      </c>
      <c r="BB110" s="31">
        <f t="shared" si="164"/>
        <v>0</v>
      </c>
      <c r="BC110" s="31">
        <f t="shared" si="165"/>
        <v>0</v>
      </c>
      <c r="BD110" s="31">
        <v>0</v>
      </c>
      <c r="BE110" s="31">
        <f t="shared" si="166"/>
        <v>0</v>
      </c>
      <c r="BG110" s="17">
        <f t="shared" si="167"/>
        <v>0</v>
      </c>
      <c r="BH110" s="17">
        <f t="shared" si="168"/>
        <v>0</v>
      </c>
      <c r="BI110" s="17">
        <f t="shared" si="169"/>
        <v>0</v>
      </c>
    </row>
    <row r="111" spans="1:61" ht="12.75">
      <c r="A111" s="4" t="s">
        <v>87</v>
      </c>
      <c r="B111" s="4"/>
      <c r="C111" s="4" t="s">
        <v>457</v>
      </c>
      <c r="D111" s="71" t="s">
        <v>831</v>
      </c>
      <c r="E111" s="4" t="s">
        <v>1121</v>
      </c>
      <c r="F111" s="17">
        <v>213</v>
      </c>
      <c r="G111" s="148">
        <v>0</v>
      </c>
      <c r="H111" s="17">
        <f t="shared" si="146"/>
        <v>0</v>
      </c>
      <c r="I111" s="17">
        <f t="shared" si="147"/>
        <v>0</v>
      </c>
      <c r="J111" s="17">
        <f t="shared" si="148"/>
        <v>0</v>
      </c>
      <c r="K111" s="17">
        <v>0.00016</v>
      </c>
      <c r="L111" s="17">
        <f t="shared" si="149"/>
        <v>0.034080000000000006</v>
      </c>
      <c r="Y111" s="31">
        <f t="shared" si="150"/>
        <v>0</v>
      </c>
      <c r="AA111" s="31">
        <f t="shared" si="151"/>
        <v>0</v>
      </c>
      <c r="AB111" s="31">
        <f t="shared" si="152"/>
        <v>0</v>
      </c>
      <c r="AC111" s="31">
        <f t="shared" si="153"/>
        <v>0</v>
      </c>
      <c r="AD111" s="31">
        <f t="shared" si="154"/>
        <v>0</v>
      </c>
      <c r="AE111" s="31">
        <f t="shared" si="155"/>
        <v>0</v>
      </c>
      <c r="AF111" s="31">
        <f t="shared" si="156"/>
        <v>0</v>
      </c>
      <c r="AG111" s="31">
        <f t="shared" si="157"/>
        <v>0</v>
      </c>
      <c r="AH111" s="26"/>
      <c r="AI111" s="17">
        <f t="shared" si="158"/>
        <v>0</v>
      </c>
      <c r="AJ111" s="17">
        <f t="shared" si="159"/>
        <v>0</v>
      </c>
      <c r="AK111" s="17">
        <f t="shared" si="160"/>
        <v>0</v>
      </c>
      <c r="AM111" s="31">
        <v>21</v>
      </c>
      <c r="AN111" s="31">
        <f>G111*0.268333333333333</f>
        <v>0</v>
      </c>
      <c r="AO111" s="31">
        <f>G111*(1-0.268333333333333)</f>
        <v>0</v>
      </c>
      <c r="AP111" s="27" t="s">
        <v>13</v>
      </c>
      <c r="AU111" s="31">
        <f t="shared" si="161"/>
        <v>0</v>
      </c>
      <c r="AV111" s="31">
        <f t="shared" si="162"/>
        <v>0</v>
      </c>
      <c r="AW111" s="31">
        <f t="shared" si="163"/>
        <v>0</v>
      </c>
      <c r="AX111" s="32" t="s">
        <v>1172</v>
      </c>
      <c r="AY111" s="32" t="s">
        <v>1206</v>
      </c>
      <c r="AZ111" s="26" t="s">
        <v>1215</v>
      </c>
      <c r="BB111" s="31">
        <f t="shared" si="164"/>
        <v>0</v>
      </c>
      <c r="BC111" s="31">
        <f t="shared" si="165"/>
        <v>0</v>
      </c>
      <c r="BD111" s="31">
        <v>0</v>
      </c>
      <c r="BE111" s="31">
        <f t="shared" si="166"/>
        <v>0.034080000000000006</v>
      </c>
      <c r="BG111" s="17">
        <f t="shared" si="167"/>
        <v>0</v>
      </c>
      <c r="BH111" s="17">
        <f t="shared" si="168"/>
        <v>0</v>
      </c>
      <c r="BI111" s="17">
        <f t="shared" si="169"/>
        <v>0</v>
      </c>
    </row>
    <row r="112" spans="1:61" ht="12.75">
      <c r="A112" s="4" t="s">
        <v>88</v>
      </c>
      <c r="B112" s="4"/>
      <c r="C112" s="4" t="s">
        <v>458</v>
      </c>
      <c r="D112" s="71" t="s">
        <v>832</v>
      </c>
      <c r="E112" s="4" t="s">
        <v>1121</v>
      </c>
      <c r="F112" s="17">
        <v>101.8</v>
      </c>
      <c r="G112" s="148">
        <v>0</v>
      </c>
      <c r="H112" s="17">
        <f t="shared" si="146"/>
        <v>0</v>
      </c>
      <c r="I112" s="17">
        <f t="shared" si="147"/>
        <v>0</v>
      </c>
      <c r="J112" s="17">
        <f t="shared" si="148"/>
        <v>0</v>
      </c>
      <c r="K112" s="17">
        <v>0</v>
      </c>
      <c r="L112" s="17">
        <f t="shared" si="149"/>
        <v>0</v>
      </c>
      <c r="Y112" s="31">
        <f t="shared" si="150"/>
        <v>0</v>
      </c>
      <c r="AA112" s="31">
        <f t="shared" si="151"/>
        <v>0</v>
      </c>
      <c r="AB112" s="31">
        <f t="shared" si="152"/>
        <v>0</v>
      </c>
      <c r="AC112" s="31">
        <f t="shared" si="153"/>
        <v>0</v>
      </c>
      <c r="AD112" s="31">
        <f t="shared" si="154"/>
        <v>0</v>
      </c>
      <c r="AE112" s="31">
        <f t="shared" si="155"/>
        <v>0</v>
      </c>
      <c r="AF112" s="31">
        <f t="shared" si="156"/>
        <v>0</v>
      </c>
      <c r="AG112" s="31">
        <f t="shared" si="157"/>
        <v>0</v>
      </c>
      <c r="AH112" s="26"/>
      <c r="AI112" s="17">
        <f t="shared" si="158"/>
        <v>0</v>
      </c>
      <c r="AJ112" s="17">
        <f t="shared" si="159"/>
        <v>0</v>
      </c>
      <c r="AK112" s="17">
        <f t="shared" si="160"/>
        <v>0</v>
      </c>
      <c r="AM112" s="31">
        <v>21</v>
      </c>
      <c r="AN112" s="31">
        <f>G112*0.67085597826087</f>
        <v>0</v>
      </c>
      <c r="AO112" s="31">
        <f>G112*(1-0.67085597826087)</f>
        <v>0</v>
      </c>
      <c r="AP112" s="27" t="s">
        <v>13</v>
      </c>
      <c r="AU112" s="31">
        <f t="shared" si="161"/>
        <v>0</v>
      </c>
      <c r="AV112" s="31">
        <f t="shared" si="162"/>
        <v>0</v>
      </c>
      <c r="AW112" s="31">
        <f t="shared" si="163"/>
        <v>0</v>
      </c>
      <c r="AX112" s="32" t="s">
        <v>1172</v>
      </c>
      <c r="AY112" s="32" t="s">
        <v>1206</v>
      </c>
      <c r="AZ112" s="26" t="s">
        <v>1215</v>
      </c>
      <c r="BB112" s="31">
        <f t="shared" si="164"/>
        <v>0</v>
      </c>
      <c r="BC112" s="31">
        <f t="shared" si="165"/>
        <v>0</v>
      </c>
      <c r="BD112" s="31">
        <v>0</v>
      </c>
      <c r="BE112" s="31">
        <f t="shared" si="166"/>
        <v>0</v>
      </c>
      <c r="BG112" s="17">
        <f t="shared" si="167"/>
        <v>0</v>
      </c>
      <c r="BH112" s="17">
        <f t="shared" si="168"/>
        <v>0</v>
      </c>
      <c r="BI112" s="17">
        <f t="shared" si="169"/>
        <v>0</v>
      </c>
    </row>
    <row r="113" spans="1:61" ht="12.75">
      <c r="A113" s="5" t="s">
        <v>89</v>
      </c>
      <c r="B113" s="5"/>
      <c r="C113" s="5" t="s">
        <v>459</v>
      </c>
      <c r="D113" s="72" t="s">
        <v>833</v>
      </c>
      <c r="E113" s="5" t="s">
        <v>1121</v>
      </c>
      <c r="F113" s="18">
        <v>199.8</v>
      </c>
      <c r="G113" s="149">
        <v>0</v>
      </c>
      <c r="H113" s="18">
        <f t="shared" si="146"/>
        <v>0</v>
      </c>
      <c r="I113" s="18">
        <f t="shared" si="147"/>
        <v>0</v>
      </c>
      <c r="J113" s="18">
        <f t="shared" si="148"/>
        <v>0</v>
      </c>
      <c r="K113" s="18">
        <v>0.036</v>
      </c>
      <c r="L113" s="18">
        <f t="shared" si="149"/>
        <v>7.1928</v>
      </c>
      <c r="Y113" s="31">
        <f t="shared" si="150"/>
        <v>0</v>
      </c>
      <c r="AA113" s="31">
        <f t="shared" si="151"/>
        <v>0</v>
      </c>
      <c r="AB113" s="31">
        <f t="shared" si="152"/>
        <v>0</v>
      </c>
      <c r="AC113" s="31">
        <f t="shared" si="153"/>
        <v>0</v>
      </c>
      <c r="AD113" s="31">
        <f t="shared" si="154"/>
        <v>0</v>
      </c>
      <c r="AE113" s="31">
        <f t="shared" si="155"/>
        <v>0</v>
      </c>
      <c r="AF113" s="31">
        <f t="shared" si="156"/>
        <v>0</v>
      </c>
      <c r="AG113" s="31">
        <f t="shared" si="157"/>
        <v>0</v>
      </c>
      <c r="AH113" s="26"/>
      <c r="AI113" s="18">
        <f t="shared" si="158"/>
        <v>0</v>
      </c>
      <c r="AJ113" s="18">
        <f t="shared" si="159"/>
        <v>0</v>
      </c>
      <c r="AK113" s="18">
        <f t="shared" si="160"/>
        <v>0</v>
      </c>
      <c r="AM113" s="31">
        <v>21</v>
      </c>
      <c r="AN113" s="31">
        <f>G113*1</f>
        <v>0</v>
      </c>
      <c r="AO113" s="31">
        <f>G113*(1-1)</f>
        <v>0</v>
      </c>
      <c r="AP113" s="28" t="s">
        <v>13</v>
      </c>
      <c r="AU113" s="31">
        <f t="shared" si="161"/>
        <v>0</v>
      </c>
      <c r="AV113" s="31">
        <f t="shared" si="162"/>
        <v>0</v>
      </c>
      <c r="AW113" s="31">
        <f t="shared" si="163"/>
        <v>0</v>
      </c>
      <c r="AX113" s="32" t="s">
        <v>1172</v>
      </c>
      <c r="AY113" s="32" t="s">
        <v>1206</v>
      </c>
      <c r="AZ113" s="26" t="s">
        <v>1215</v>
      </c>
      <c r="BB113" s="31">
        <f t="shared" si="164"/>
        <v>0</v>
      </c>
      <c r="BC113" s="31">
        <f t="shared" si="165"/>
        <v>0</v>
      </c>
      <c r="BD113" s="31">
        <v>0</v>
      </c>
      <c r="BE113" s="31">
        <f t="shared" si="166"/>
        <v>7.1928</v>
      </c>
      <c r="BG113" s="18">
        <f t="shared" si="167"/>
        <v>0</v>
      </c>
      <c r="BH113" s="18">
        <f t="shared" si="168"/>
        <v>0</v>
      </c>
      <c r="BI113" s="18">
        <f t="shared" si="169"/>
        <v>0</v>
      </c>
    </row>
    <row r="114" spans="1:61" ht="12.75">
      <c r="A114" s="4" t="s">
        <v>90</v>
      </c>
      <c r="B114" s="4"/>
      <c r="C114" s="4" t="s">
        <v>460</v>
      </c>
      <c r="D114" s="71" t="s">
        <v>834</v>
      </c>
      <c r="E114" s="4" t="s">
        <v>1121</v>
      </c>
      <c r="F114" s="17">
        <v>184</v>
      </c>
      <c r="G114" s="148">
        <v>0</v>
      </c>
      <c r="H114" s="17">
        <f t="shared" si="146"/>
        <v>0</v>
      </c>
      <c r="I114" s="17">
        <f t="shared" si="147"/>
        <v>0</v>
      </c>
      <c r="J114" s="17">
        <f t="shared" si="148"/>
        <v>0</v>
      </c>
      <c r="K114" s="17">
        <v>0.00204</v>
      </c>
      <c r="L114" s="17">
        <f t="shared" si="149"/>
        <v>0.37536</v>
      </c>
      <c r="Y114" s="31">
        <f t="shared" si="150"/>
        <v>0</v>
      </c>
      <c r="AA114" s="31">
        <f t="shared" si="151"/>
        <v>0</v>
      </c>
      <c r="AB114" s="31">
        <f t="shared" si="152"/>
        <v>0</v>
      </c>
      <c r="AC114" s="31">
        <f t="shared" si="153"/>
        <v>0</v>
      </c>
      <c r="AD114" s="31">
        <f t="shared" si="154"/>
        <v>0</v>
      </c>
      <c r="AE114" s="31">
        <f t="shared" si="155"/>
        <v>0</v>
      </c>
      <c r="AF114" s="31">
        <f t="shared" si="156"/>
        <v>0</v>
      </c>
      <c r="AG114" s="31">
        <f t="shared" si="157"/>
        <v>0</v>
      </c>
      <c r="AH114" s="26"/>
      <c r="AI114" s="17">
        <f t="shared" si="158"/>
        <v>0</v>
      </c>
      <c r="AJ114" s="17">
        <f t="shared" si="159"/>
        <v>0</v>
      </c>
      <c r="AK114" s="17">
        <f t="shared" si="160"/>
        <v>0</v>
      </c>
      <c r="AM114" s="31">
        <v>21</v>
      </c>
      <c r="AN114" s="31">
        <f>G114*0.820468530713592</f>
        <v>0</v>
      </c>
      <c r="AO114" s="31">
        <f>G114*(1-0.820468530713592)</f>
        <v>0</v>
      </c>
      <c r="AP114" s="27" t="s">
        <v>13</v>
      </c>
      <c r="AU114" s="31">
        <f t="shared" si="161"/>
        <v>0</v>
      </c>
      <c r="AV114" s="31">
        <f t="shared" si="162"/>
        <v>0</v>
      </c>
      <c r="AW114" s="31">
        <f t="shared" si="163"/>
        <v>0</v>
      </c>
      <c r="AX114" s="32" t="s">
        <v>1172</v>
      </c>
      <c r="AY114" s="32" t="s">
        <v>1206</v>
      </c>
      <c r="AZ114" s="26" t="s">
        <v>1215</v>
      </c>
      <c r="BB114" s="31">
        <f t="shared" si="164"/>
        <v>0</v>
      </c>
      <c r="BC114" s="31">
        <f t="shared" si="165"/>
        <v>0</v>
      </c>
      <c r="BD114" s="31">
        <v>0</v>
      </c>
      <c r="BE114" s="31">
        <f t="shared" si="166"/>
        <v>0.37536</v>
      </c>
      <c r="BG114" s="17">
        <f t="shared" si="167"/>
        <v>0</v>
      </c>
      <c r="BH114" s="17">
        <f t="shared" si="168"/>
        <v>0</v>
      </c>
      <c r="BI114" s="17">
        <f t="shared" si="169"/>
        <v>0</v>
      </c>
    </row>
    <row r="115" spans="1:61" ht="12.75">
      <c r="A115" s="4" t="s">
        <v>91</v>
      </c>
      <c r="B115" s="4"/>
      <c r="C115" s="4" t="s">
        <v>461</v>
      </c>
      <c r="D115" s="71" t="s">
        <v>835</v>
      </c>
      <c r="E115" s="4" t="s">
        <v>1121</v>
      </c>
      <c r="F115" s="17">
        <v>101</v>
      </c>
      <c r="G115" s="148">
        <v>0</v>
      </c>
      <c r="H115" s="17">
        <f t="shared" si="146"/>
        <v>0</v>
      </c>
      <c r="I115" s="17">
        <f t="shared" si="147"/>
        <v>0</v>
      </c>
      <c r="J115" s="17">
        <f t="shared" si="148"/>
        <v>0</v>
      </c>
      <c r="K115" s="17">
        <v>0.00163</v>
      </c>
      <c r="L115" s="17">
        <f t="shared" si="149"/>
        <v>0.16463</v>
      </c>
      <c r="Y115" s="31">
        <f t="shared" si="150"/>
        <v>0</v>
      </c>
      <c r="AA115" s="31">
        <f t="shared" si="151"/>
        <v>0</v>
      </c>
      <c r="AB115" s="31">
        <f t="shared" si="152"/>
        <v>0</v>
      </c>
      <c r="AC115" s="31">
        <f t="shared" si="153"/>
        <v>0</v>
      </c>
      <c r="AD115" s="31">
        <f t="shared" si="154"/>
        <v>0</v>
      </c>
      <c r="AE115" s="31">
        <f t="shared" si="155"/>
        <v>0</v>
      </c>
      <c r="AF115" s="31">
        <f t="shared" si="156"/>
        <v>0</v>
      </c>
      <c r="AG115" s="31">
        <f t="shared" si="157"/>
        <v>0</v>
      </c>
      <c r="AH115" s="26"/>
      <c r="AI115" s="17">
        <f t="shared" si="158"/>
        <v>0</v>
      </c>
      <c r="AJ115" s="17">
        <f t="shared" si="159"/>
        <v>0</v>
      </c>
      <c r="AK115" s="17">
        <f t="shared" si="160"/>
        <v>0</v>
      </c>
      <c r="AM115" s="31">
        <v>21</v>
      </c>
      <c r="AN115" s="31">
        <f>G115*0.854310682144255</f>
        <v>0</v>
      </c>
      <c r="AO115" s="31">
        <f>G115*(1-0.854310682144255)</f>
        <v>0</v>
      </c>
      <c r="AP115" s="27" t="s">
        <v>13</v>
      </c>
      <c r="AU115" s="31">
        <f t="shared" si="161"/>
        <v>0</v>
      </c>
      <c r="AV115" s="31">
        <f t="shared" si="162"/>
        <v>0</v>
      </c>
      <c r="AW115" s="31">
        <f t="shared" si="163"/>
        <v>0</v>
      </c>
      <c r="AX115" s="32" t="s">
        <v>1172</v>
      </c>
      <c r="AY115" s="32" t="s">
        <v>1206</v>
      </c>
      <c r="AZ115" s="26" t="s">
        <v>1215</v>
      </c>
      <c r="BB115" s="31">
        <f t="shared" si="164"/>
        <v>0</v>
      </c>
      <c r="BC115" s="31">
        <f t="shared" si="165"/>
        <v>0</v>
      </c>
      <c r="BD115" s="31">
        <v>0</v>
      </c>
      <c r="BE115" s="31">
        <f t="shared" si="166"/>
        <v>0.16463</v>
      </c>
      <c r="BG115" s="17">
        <f t="shared" si="167"/>
        <v>0</v>
      </c>
      <c r="BH115" s="17">
        <f t="shared" si="168"/>
        <v>0</v>
      </c>
      <c r="BI115" s="17">
        <f t="shared" si="169"/>
        <v>0</v>
      </c>
    </row>
    <row r="116" spans="1:46" ht="12.75">
      <c r="A116" s="6"/>
      <c r="B116" s="13"/>
      <c r="C116" s="13" t="s">
        <v>462</v>
      </c>
      <c r="D116" s="73" t="s">
        <v>836</v>
      </c>
      <c r="E116" s="6" t="s">
        <v>6</v>
      </c>
      <c r="F116" s="6" t="s">
        <v>6</v>
      </c>
      <c r="G116" s="151" t="s">
        <v>6</v>
      </c>
      <c r="H116" s="34">
        <f>SUM(H117:H135)</f>
        <v>0</v>
      </c>
      <c r="I116" s="34">
        <f>SUM(I117:I135)</f>
        <v>0</v>
      </c>
      <c r="J116" s="34">
        <f>SUM(J117:J135)</f>
        <v>0</v>
      </c>
      <c r="K116" s="26"/>
      <c r="L116" s="34">
        <f>SUM(L117:L135)</f>
        <v>0.86869</v>
      </c>
      <c r="AH116" s="26"/>
      <c r="AR116" s="34">
        <f>SUM(AI117:AI135)</f>
        <v>0</v>
      </c>
      <c r="AS116" s="34">
        <f>SUM(AJ117:AJ135)</f>
        <v>0</v>
      </c>
      <c r="AT116" s="34">
        <f>SUM(AK117:AK135)</f>
        <v>0</v>
      </c>
    </row>
    <row r="117" spans="1:61" ht="12.75">
      <c r="A117" s="4" t="s">
        <v>92</v>
      </c>
      <c r="B117" s="4"/>
      <c r="C117" s="4" t="s">
        <v>463</v>
      </c>
      <c r="D117" s="71" t="s">
        <v>837</v>
      </c>
      <c r="E117" s="4" t="s">
        <v>1123</v>
      </c>
      <c r="F117" s="17">
        <v>64</v>
      </c>
      <c r="G117" s="148">
        <v>0</v>
      </c>
      <c r="H117" s="17">
        <f aca="true" t="shared" si="170" ref="H117:H135">F117*AN117</f>
        <v>0</v>
      </c>
      <c r="I117" s="17">
        <f aca="true" t="shared" si="171" ref="I117:I135">F117*AO117</f>
        <v>0</v>
      </c>
      <c r="J117" s="17">
        <f aca="true" t="shared" si="172" ref="J117:J135">F117*G117</f>
        <v>0</v>
      </c>
      <c r="K117" s="17">
        <v>0.0021</v>
      </c>
      <c r="L117" s="17">
        <f aca="true" t="shared" si="173" ref="L117:L135">F117*K117</f>
        <v>0.1344</v>
      </c>
      <c r="Y117" s="31">
        <f aca="true" t="shared" si="174" ref="Y117:Y135">IF(AP117="5",BI117,0)</f>
        <v>0</v>
      </c>
      <c r="AA117" s="31">
        <f aca="true" t="shared" si="175" ref="AA117:AA135">IF(AP117="1",BG117,0)</f>
        <v>0</v>
      </c>
      <c r="AB117" s="31">
        <f aca="true" t="shared" si="176" ref="AB117:AB135">IF(AP117="1",BH117,0)</f>
        <v>0</v>
      </c>
      <c r="AC117" s="31">
        <f aca="true" t="shared" si="177" ref="AC117:AC135">IF(AP117="7",BG117,0)</f>
        <v>0</v>
      </c>
      <c r="AD117" s="31">
        <f aca="true" t="shared" si="178" ref="AD117:AD135">IF(AP117="7",BH117,0)</f>
        <v>0</v>
      </c>
      <c r="AE117" s="31">
        <f aca="true" t="shared" si="179" ref="AE117:AE135">IF(AP117="2",BG117,0)</f>
        <v>0</v>
      </c>
      <c r="AF117" s="31">
        <f aca="true" t="shared" si="180" ref="AF117:AF135">IF(AP117="2",BH117,0)</f>
        <v>0</v>
      </c>
      <c r="AG117" s="31">
        <f aca="true" t="shared" si="181" ref="AG117:AG135">IF(AP117="0",BI117,0)</f>
        <v>0</v>
      </c>
      <c r="AH117" s="26"/>
      <c r="AI117" s="17">
        <f aca="true" t="shared" si="182" ref="AI117:AI135">IF(AM117=0,J117,0)</f>
        <v>0</v>
      </c>
      <c r="AJ117" s="17">
        <f aca="true" t="shared" si="183" ref="AJ117:AJ135">IF(AM117=15,J117,0)</f>
        <v>0</v>
      </c>
      <c r="AK117" s="17">
        <f aca="true" t="shared" si="184" ref="AK117:AK135">IF(AM117=21,J117,0)</f>
        <v>0</v>
      </c>
      <c r="AM117" s="31">
        <v>21</v>
      </c>
      <c r="AN117" s="31">
        <f>G117*0.394129746835443</f>
        <v>0</v>
      </c>
      <c r="AO117" s="31">
        <f>G117*(1-0.394129746835443)</f>
        <v>0</v>
      </c>
      <c r="AP117" s="27" t="s">
        <v>13</v>
      </c>
      <c r="AU117" s="31">
        <f aca="true" t="shared" si="185" ref="AU117:AU135">AV117+AW117</f>
        <v>0</v>
      </c>
      <c r="AV117" s="31">
        <f aca="true" t="shared" si="186" ref="AV117:AV135">F117*AN117</f>
        <v>0</v>
      </c>
      <c r="AW117" s="31">
        <f aca="true" t="shared" si="187" ref="AW117:AW135">F117*AO117</f>
        <v>0</v>
      </c>
      <c r="AX117" s="32" t="s">
        <v>1173</v>
      </c>
      <c r="AY117" s="32" t="s">
        <v>1207</v>
      </c>
      <c r="AZ117" s="26" t="s">
        <v>1215</v>
      </c>
      <c r="BB117" s="31">
        <f aca="true" t="shared" si="188" ref="BB117:BB135">AV117+AW117</f>
        <v>0</v>
      </c>
      <c r="BC117" s="31">
        <f aca="true" t="shared" si="189" ref="BC117:BC135">G117/(100-BD117)*100</f>
        <v>0</v>
      </c>
      <c r="BD117" s="31">
        <v>0</v>
      </c>
      <c r="BE117" s="31">
        <f aca="true" t="shared" si="190" ref="BE117:BE135">L117</f>
        <v>0.1344</v>
      </c>
      <c r="BG117" s="17">
        <f aca="true" t="shared" si="191" ref="BG117:BG135">F117*AN117</f>
        <v>0</v>
      </c>
      <c r="BH117" s="17">
        <f aca="true" t="shared" si="192" ref="BH117:BH135">F117*AO117</f>
        <v>0</v>
      </c>
      <c r="BI117" s="17">
        <f aca="true" t="shared" si="193" ref="BI117:BI135">F117*G117</f>
        <v>0</v>
      </c>
    </row>
    <row r="118" spans="1:61" ht="12.75">
      <c r="A118" s="4" t="s">
        <v>93</v>
      </c>
      <c r="B118" s="4"/>
      <c r="C118" s="4" t="s">
        <v>464</v>
      </c>
      <c r="D118" s="71" t="s">
        <v>838</v>
      </c>
      <c r="E118" s="4" t="s">
        <v>1123</v>
      </c>
      <c r="F118" s="17">
        <v>50</v>
      </c>
      <c r="G118" s="148">
        <v>0</v>
      </c>
      <c r="H118" s="17">
        <f t="shared" si="170"/>
        <v>0</v>
      </c>
      <c r="I118" s="17">
        <f t="shared" si="171"/>
        <v>0</v>
      </c>
      <c r="J118" s="17">
        <f t="shared" si="172"/>
        <v>0</v>
      </c>
      <c r="K118" s="17">
        <v>0.00252</v>
      </c>
      <c r="L118" s="17">
        <f t="shared" si="173"/>
        <v>0.126</v>
      </c>
      <c r="Y118" s="31">
        <f t="shared" si="174"/>
        <v>0</v>
      </c>
      <c r="AA118" s="31">
        <f t="shared" si="175"/>
        <v>0</v>
      </c>
      <c r="AB118" s="31">
        <f t="shared" si="176"/>
        <v>0</v>
      </c>
      <c r="AC118" s="31">
        <f t="shared" si="177"/>
        <v>0</v>
      </c>
      <c r="AD118" s="31">
        <f t="shared" si="178"/>
        <v>0</v>
      </c>
      <c r="AE118" s="31">
        <f t="shared" si="179"/>
        <v>0</v>
      </c>
      <c r="AF118" s="31">
        <f t="shared" si="180"/>
        <v>0</v>
      </c>
      <c r="AG118" s="31">
        <f t="shared" si="181"/>
        <v>0</v>
      </c>
      <c r="AH118" s="26"/>
      <c r="AI118" s="17">
        <f t="shared" si="182"/>
        <v>0</v>
      </c>
      <c r="AJ118" s="17">
        <f t="shared" si="183"/>
        <v>0</v>
      </c>
      <c r="AK118" s="17">
        <f t="shared" si="184"/>
        <v>0</v>
      </c>
      <c r="AM118" s="31">
        <v>21</v>
      </c>
      <c r="AN118" s="31">
        <f>G118*0.48464333781965</f>
        <v>0</v>
      </c>
      <c r="AO118" s="31">
        <f>G118*(1-0.48464333781965)</f>
        <v>0</v>
      </c>
      <c r="AP118" s="27" t="s">
        <v>13</v>
      </c>
      <c r="AU118" s="31">
        <f t="shared" si="185"/>
        <v>0</v>
      </c>
      <c r="AV118" s="31">
        <f t="shared" si="186"/>
        <v>0</v>
      </c>
      <c r="AW118" s="31">
        <f t="shared" si="187"/>
        <v>0</v>
      </c>
      <c r="AX118" s="32" t="s">
        <v>1173</v>
      </c>
      <c r="AY118" s="32" t="s">
        <v>1207</v>
      </c>
      <c r="AZ118" s="26" t="s">
        <v>1215</v>
      </c>
      <c r="BB118" s="31">
        <f t="shared" si="188"/>
        <v>0</v>
      </c>
      <c r="BC118" s="31">
        <f t="shared" si="189"/>
        <v>0</v>
      </c>
      <c r="BD118" s="31">
        <v>0</v>
      </c>
      <c r="BE118" s="31">
        <f t="shared" si="190"/>
        <v>0.126</v>
      </c>
      <c r="BG118" s="17">
        <f t="shared" si="191"/>
        <v>0</v>
      </c>
      <c r="BH118" s="17">
        <f t="shared" si="192"/>
        <v>0</v>
      </c>
      <c r="BI118" s="17">
        <f t="shared" si="193"/>
        <v>0</v>
      </c>
    </row>
    <row r="119" spans="1:61" ht="12.75">
      <c r="A119" s="4" t="s">
        <v>94</v>
      </c>
      <c r="B119" s="4"/>
      <c r="C119" s="4" t="s">
        <v>465</v>
      </c>
      <c r="D119" s="71" t="s">
        <v>839</v>
      </c>
      <c r="E119" s="4" t="s">
        <v>1123</v>
      </c>
      <c r="F119" s="17">
        <v>34</v>
      </c>
      <c r="G119" s="148">
        <v>0</v>
      </c>
      <c r="H119" s="17">
        <f t="shared" si="170"/>
        <v>0</v>
      </c>
      <c r="I119" s="17">
        <f t="shared" si="171"/>
        <v>0</v>
      </c>
      <c r="J119" s="17">
        <f t="shared" si="172"/>
        <v>0</v>
      </c>
      <c r="K119" s="17">
        <v>0.00357</v>
      </c>
      <c r="L119" s="17">
        <f t="shared" si="173"/>
        <v>0.12137999999999999</v>
      </c>
      <c r="Y119" s="31">
        <f t="shared" si="174"/>
        <v>0</v>
      </c>
      <c r="AA119" s="31">
        <f t="shared" si="175"/>
        <v>0</v>
      </c>
      <c r="AB119" s="31">
        <f t="shared" si="176"/>
        <v>0</v>
      </c>
      <c r="AC119" s="31">
        <f t="shared" si="177"/>
        <v>0</v>
      </c>
      <c r="AD119" s="31">
        <f t="shared" si="178"/>
        <v>0</v>
      </c>
      <c r="AE119" s="31">
        <f t="shared" si="179"/>
        <v>0</v>
      </c>
      <c r="AF119" s="31">
        <f t="shared" si="180"/>
        <v>0</v>
      </c>
      <c r="AG119" s="31">
        <f t="shared" si="181"/>
        <v>0</v>
      </c>
      <c r="AH119" s="26"/>
      <c r="AI119" s="17">
        <f t="shared" si="182"/>
        <v>0</v>
      </c>
      <c r="AJ119" s="17">
        <f t="shared" si="183"/>
        <v>0</v>
      </c>
      <c r="AK119" s="17">
        <f t="shared" si="184"/>
        <v>0</v>
      </c>
      <c r="AM119" s="31">
        <v>21</v>
      </c>
      <c r="AN119" s="31">
        <f>G119*0.624465049928673</f>
        <v>0</v>
      </c>
      <c r="AO119" s="31">
        <f>G119*(1-0.624465049928673)</f>
        <v>0</v>
      </c>
      <c r="AP119" s="27" t="s">
        <v>13</v>
      </c>
      <c r="AU119" s="31">
        <f t="shared" si="185"/>
        <v>0</v>
      </c>
      <c r="AV119" s="31">
        <f t="shared" si="186"/>
        <v>0</v>
      </c>
      <c r="AW119" s="31">
        <f t="shared" si="187"/>
        <v>0</v>
      </c>
      <c r="AX119" s="32" t="s">
        <v>1173</v>
      </c>
      <c r="AY119" s="32" t="s">
        <v>1207</v>
      </c>
      <c r="AZ119" s="26" t="s">
        <v>1215</v>
      </c>
      <c r="BB119" s="31">
        <f t="shared" si="188"/>
        <v>0</v>
      </c>
      <c r="BC119" s="31">
        <f t="shared" si="189"/>
        <v>0</v>
      </c>
      <c r="BD119" s="31">
        <v>0</v>
      </c>
      <c r="BE119" s="31">
        <f t="shared" si="190"/>
        <v>0.12137999999999999</v>
      </c>
      <c r="BG119" s="17">
        <f t="shared" si="191"/>
        <v>0</v>
      </c>
      <c r="BH119" s="17">
        <f t="shared" si="192"/>
        <v>0</v>
      </c>
      <c r="BI119" s="17">
        <f t="shared" si="193"/>
        <v>0</v>
      </c>
    </row>
    <row r="120" spans="1:61" ht="12.75">
      <c r="A120" s="4" t="s">
        <v>95</v>
      </c>
      <c r="B120" s="4"/>
      <c r="C120" s="4" t="s">
        <v>466</v>
      </c>
      <c r="D120" s="71" t="s">
        <v>840</v>
      </c>
      <c r="E120" s="4" t="s">
        <v>1123</v>
      </c>
      <c r="F120" s="17">
        <v>5</v>
      </c>
      <c r="G120" s="148">
        <v>0</v>
      </c>
      <c r="H120" s="17">
        <f t="shared" si="170"/>
        <v>0</v>
      </c>
      <c r="I120" s="17">
        <f t="shared" si="171"/>
        <v>0</v>
      </c>
      <c r="J120" s="17">
        <f t="shared" si="172"/>
        <v>0</v>
      </c>
      <c r="K120" s="17">
        <v>0.00403</v>
      </c>
      <c r="L120" s="17">
        <f t="shared" si="173"/>
        <v>0.020149999999999998</v>
      </c>
      <c r="Y120" s="31">
        <f t="shared" si="174"/>
        <v>0</v>
      </c>
      <c r="AA120" s="31">
        <f t="shared" si="175"/>
        <v>0</v>
      </c>
      <c r="AB120" s="31">
        <f t="shared" si="176"/>
        <v>0</v>
      </c>
      <c r="AC120" s="31">
        <f t="shared" si="177"/>
        <v>0</v>
      </c>
      <c r="AD120" s="31">
        <f t="shared" si="178"/>
        <v>0</v>
      </c>
      <c r="AE120" s="31">
        <f t="shared" si="179"/>
        <v>0</v>
      </c>
      <c r="AF120" s="31">
        <f t="shared" si="180"/>
        <v>0</v>
      </c>
      <c r="AG120" s="31">
        <f t="shared" si="181"/>
        <v>0</v>
      </c>
      <c r="AH120" s="26"/>
      <c r="AI120" s="17">
        <f t="shared" si="182"/>
        <v>0</v>
      </c>
      <c r="AJ120" s="17">
        <f t="shared" si="183"/>
        <v>0</v>
      </c>
      <c r="AK120" s="17">
        <f t="shared" si="184"/>
        <v>0</v>
      </c>
      <c r="AM120" s="31">
        <v>21</v>
      </c>
      <c r="AN120" s="31">
        <f>G120*0.619629139072848</f>
        <v>0</v>
      </c>
      <c r="AO120" s="31">
        <f>G120*(1-0.619629139072848)</f>
        <v>0</v>
      </c>
      <c r="AP120" s="27" t="s">
        <v>13</v>
      </c>
      <c r="AU120" s="31">
        <f t="shared" si="185"/>
        <v>0</v>
      </c>
      <c r="AV120" s="31">
        <f t="shared" si="186"/>
        <v>0</v>
      </c>
      <c r="AW120" s="31">
        <f t="shared" si="187"/>
        <v>0</v>
      </c>
      <c r="AX120" s="32" t="s">
        <v>1173</v>
      </c>
      <c r="AY120" s="32" t="s">
        <v>1207</v>
      </c>
      <c r="AZ120" s="26" t="s">
        <v>1215</v>
      </c>
      <c r="BB120" s="31">
        <f t="shared" si="188"/>
        <v>0</v>
      </c>
      <c r="BC120" s="31">
        <f t="shared" si="189"/>
        <v>0</v>
      </c>
      <c r="BD120" s="31">
        <v>0</v>
      </c>
      <c r="BE120" s="31">
        <f t="shared" si="190"/>
        <v>0.020149999999999998</v>
      </c>
      <c r="BG120" s="17">
        <f t="shared" si="191"/>
        <v>0</v>
      </c>
      <c r="BH120" s="17">
        <f t="shared" si="192"/>
        <v>0</v>
      </c>
      <c r="BI120" s="17">
        <f t="shared" si="193"/>
        <v>0</v>
      </c>
    </row>
    <row r="121" spans="1:61" ht="12.75">
      <c r="A121" s="4" t="s">
        <v>96</v>
      </c>
      <c r="B121" s="4"/>
      <c r="C121" s="4" t="s">
        <v>467</v>
      </c>
      <c r="D121" s="71" t="s">
        <v>841</v>
      </c>
      <c r="E121" s="4" t="s">
        <v>1120</v>
      </c>
      <c r="F121" s="17">
        <v>1</v>
      </c>
      <c r="G121" s="148">
        <v>0</v>
      </c>
      <c r="H121" s="17">
        <f t="shared" si="170"/>
        <v>0</v>
      </c>
      <c r="I121" s="17">
        <f t="shared" si="171"/>
        <v>0</v>
      </c>
      <c r="J121" s="17">
        <f t="shared" si="172"/>
        <v>0</v>
      </c>
      <c r="K121" s="17">
        <v>0.00091</v>
      </c>
      <c r="L121" s="17">
        <f t="shared" si="173"/>
        <v>0.00091</v>
      </c>
      <c r="Y121" s="31">
        <f t="shared" si="174"/>
        <v>0</v>
      </c>
      <c r="AA121" s="31">
        <f t="shared" si="175"/>
        <v>0</v>
      </c>
      <c r="AB121" s="31">
        <f t="shared" si="176"/>
        <v>0</v>
      </c>
      <c r="AC121" s="31">
        <f t="shared" si="177"/>
        <v>0</v>
      </c>
      <c r="AD121" s="31">
        <f t="shared" si="178"/>
        <v>0</v>
      </c>
      <c r="AE121" s="31">
        <f t="shared" si="179"/>
        <v>0</v>
      </c>
      <c r="AF121" s="31">
        <f t="shared" si="180"/>
        <v>0</v>
      </c>
      <c r="AG121" s="31">
        <f t="shared" si="181"/>
        <v>0</v>
      </c>
      <c r="AH121" s="26"/>
      <c r="AI121" s="17">
        <f t="shared" si="182"/>
        <v>0</v>
      </c>
      <c r="AJ121" s="17">
        <f t="shared" si="183"/>
        <v>0</v>
      </c>
      <c r="AK121" s="17">
        <f t="shared" si="184"/>
        <v>0</v>
      </c>
      <c r="AM121" s="31">
        <v>21</v>
      </c>
      <c r="AN121" s="31">
        <f>G121*0.860812431842966</f>
        <v>0</v>
      </c>
      <c r="AO121" s="31">
        <f>G121*(1-0.860812431842966)</f>
        <v>0</v>
      </c>
      <c r="AP121" s="27" t="s">
        <v>13</v>
      </c>
      <c r="AU121" s="31">
        <f t="shared" si="185"/>
        <v>0</v>
      </c>
      <c r="AV121" s="31">
        <f t="shared" si="186"/>
        <v>0</v>
      </c>
      <c r="AW121" s="31">
        <f t="shared" si="187"/>
        <v>0</v>
      </c>
      <c r="AX121" s="32" t="s">
        <v>1173</v>
      </c>
      <c r="AY121" s="32" t="s">
        <v>1207</v>
      </c>
      <c r="AZ121" s="26" t="s">
        <v>1215</v>
      </c>
      <c r="BB121" s="31">
        <f t="shared" si="188"/>
        <v>0</v>
      </c>
      <c r="BC121" s="31">
        <f t="shared" si="189"/>
        <v>0</v>
      </c>
      <c r="BD121" s="31">
        <v>0</v>
      </c>
      <c r="BE121" s="31">
        <f t="shared" si="190"/>
        <v>0.00091</v>
      </c>
      <c r="BG121" s="17">
        <f t="shared" si="191"/>
        <v>0</v>
      </c>
      <c r="BH121" s="17">
        <f t="shared" si="192"/>
        <v>0</v>
      </c>
      <c r="BI121" s="17">
        <f t="shared" si="193"/>
        <v>0</v>
      </c>
    </row>
    <row r="122" spans="1:61" ht="12.75">
      <c r="A122" s="4" t="s">
        <v>97</v>
      </c>
      <c r="B122" s="4"/>
      <c r="C122" s="4" t="s">
        <v>468</v>
      </c>
      <c r="D122" s="71" t="s">
        <v>842</v>
      </c>
      <c r="E122" s="4" t="s">
        <v>1123</v>
      </c>
      <c r="F122" s="17">
        <v>2</v>
      </c>
      <c r="G122" s="148">
        <v>0</v>
      </c>
      <c r="H122" s="17">
        <f t="shared" si="170"/>
        <v>0</v>
      </c>
      <c r="I122" s="17">
        <f t="shared" si="171"/>
        <v>0</v>
      </c>
      <c r="J122" s="17">
        <f t="shared" si="172"/>
        <v>0</v>
      </c>
      <c r="K122" s="17">
        <v>0.00034</v>
      </c>
      <c r="L122" s="17">
        <f t="shared" si="173"/>
        <v>0.00068</v>
      </c>
      <c r="Y122" s="31">
        <f t="shared" si="174"/>
        <v>0</v>
      </c>
      <c r="AA122" s="31">
        <f t="shared" si="175"/>
        <v>0</v>
      </c>
      <c r="AB122" s="31">
        <f t="shared" si="176"/>
        <v>0</v>
      </c>
      <c r="AC122" s="31">
        <f t="shared" si="177"/>
        <v>0</v>
      </c>
      <c r="AD122" s="31">
        <f t="shared" si="178"/>
        <v>0</v>
      </c>
      <c r="AE122" s="31">
        <f t="shared" si="179"/>
        <v>0</v>
      </c>
      <c r="AF122" s="31">
        <f t="shared" si="180"/>
        <v>0</v>
      </c>
      <c r="AG122" s="31">
        <f t="shared" si="181"/>
        <v>0</v>
      </c>
      <c r="AH122" s="26"/>
      <c r="AI122" s="17">
        <f t="shared" si="182"/>
        <v>0</v>
      </c>
      <c r="AJ122" s="17">
        <f t="shared" si="183"/>
        <v>0</v>
      </c>
      <c r="AK122" s="17">
        <f t="shared" si="184"/>
        <v>0</v>
      </c>
      <c r="AM122" s="31">
        <v>21</v>
      </c>
      <c r="AN122" s="31">
        <f>G122*0.459104393275886</f>
        <v>0</v>
      </c>
      <c r="AO122" s="31">
        <f>G122*(1-0.459104393275886)</f>
        <v>0</v>
      </c>
      <c r="AP122" s="27" t="s">
        <v>13</v>
      </c>
      <c r="AU122" s="31">
        <f t="shared" si="185"/>
        <v>0</v>
      </c>
      <c r="AV122" s="31">
        <f t="shared" si="186"/>
        <v>0</v>
      </c>
      <c r="AW122" s="31">
        <f t="shared" si="187"/>
        <v>0</v>
      </c>
      <c r="AX122" s="32" t="s">
        <v>1173</v>
      </c>
      <c r="AY122" s="32" t="s">
        <v>1207</v>
      </c>
      <c r="AZ122" s="26" t="s">
        <v>1215</v>
      </c>
      <c r="BB122" s="31">
        <f t="shared" si="188"/>
        <v>0</v>
      </c>
      <c r="BC122" s="31">
        <f t="shared" si="189"/>
        <v>0</v>
      </c>
      <c r="BD122" s="31">
        <v>0</v>
      </c>
      <c r="BE122" s="31">
        <f t="shared" si="190"/>
        <v>0.00068</v>
      </c>
      <c r="BG122" s="17">
        <f t="shared" si="191"/>
        <v>0</v>
      </c>
      <c r="BH122" s="17">
        <f t="shared" si="192"/>
        <v>0</v>
      </c>
      <c r="BI122" s="17">
        <f t="shared" si="193"/>
        <v>0</v>
      </c>
    </row>
    <row r="123" spans="1:61" ht="12.75">
      <c r="A123" s="4" t="s">
        <v>98</v>
      </c>
      <c r="B123" s="4"/>
      <c r="C123" s="4" t="s">
        <v>469</v>
      </c>
      <c r="D123" s="71" t="s">
        <v>843</v>
      </c>
      <c r="E123" s="4" t="s">
        <v>1123</v>
      </c>
      <c r="F123" s="17">
        <v>16</v>
      </c>
      <c r="G123" s="148">
        <v>0</v>
      </c>
      <c r="H123" s="17">
        <f t="shared" si="170"/>
        <v>0</v>
      </c>
      <c r="I123" s="17">
        <f t="shared" si="171"/>
        <v>0</v>
      </c>
      <c r="J123" s="17">
        <f t="shared" si="172"/>
        <v>0</v>
      </c>
      <c r="K123" s="17">
        <v>0.00038</v>
      </c>
      <c r="L123" s="17">
        <f t="shared" si="173"/>
        <v>0.00608</v>
      </c>
      <c r="Y123" s="31">
        <f t="shared" si="174"/>
        <v>0</v>
      </c>
      <c r="AA123" s="31">
        <f t="shared" si="175"/>
        <v>0</v>
      </c>
      <c r="AB123" s="31">
        <f t="shared" si="176"/>
        <v>0</v>
      </c>
      <c r="AC123" s="31">
        <f t="shared" si="177"/>
        <v>0</v>
      </c>
      <c r="AD123" s="31">
        <f t="shared" si="178"/>
        <v>0</v>
      </c>
      <c r="AE123" s="31">
        <f t="shared" si="179"/>
        <v>0</v>
      </c>
      <c r="AF123" s="31">
        <f t="shared" si="180"/>
        <v>0</v>
      </c>
      <c r="AG123" s="31">
        <f t="shared" si="181"/>
        <v>0</v>
      </c>
      <c r="AH123" s="26"/>
      <c r="AI123" s="17">
        <f t="shared" si="182"/>
        <v>0</v>
      </c>
      <c r="AJ123" s="17">
        <f t="shared" si="183"/>
        <v>0</v>
      </c>
      <c r="AK123" s="17">
        <f t="shared" si="184"/>
        <v>0</v>
      </c>
      <c r="AM123" s="31">
        <v>21</v>
      </c>
      <c r="AN123" s="31">
        <f>G123*0.439302972616781</f>
        <v>0</v>
      </c>
      <c r="AO123" s="31">
        <f>G123*(1-0.439302972616781)</f>
        <v>0</v>
      </c>
      <c r="AP123" s="27" t="s">
        <v>13</v>
      </c>
      <c r="AU123" s="31">
        <f t="shared" si="185"/>
        <v>0</v>
      </c>
      <c r="AV123" s="31">
        <f t="shared" si="186"/>
        <v>0</v>
      </c>
      <c r="AW123" s="31">
        <f t="shared" si="187"/>
        <v>0</v>
      </c>
      <c r="AX123" s="32" t="s">
        <v>1173</v>
      </c>
      <c r="AY123" s="32" t="s">
        <v>1207</v>
      </c>
      <c r="AZ123" s="26" t="s">
        <v>1215</v>
      </c>
      <c r="BB123" s="31">
        <f t="shared" si="188"/>
        <v>0</v>
      </c>
      <c r="BC123" s="31">
        <f t="shared" si="189"/>
        <v>0</v>
      </c>
      <c r="BD123" s="31">
        <v>0</v>
      </c>
      <c r="BE123" s="31">
        <f t="shared" si="190"/>
        <v>0.00608</v>
      </c>
      <c r="BG123" s="17">
        <f t="shared" si="191"/>
        <v>0</v>
      </c>
      <c r="BH123" s="17">
        <f t="shared" si="192"/>
        <v>0</v>
      </c>
      <c r="BI123" s="17">
        <f t="shared" si="193"/>
        <v>0</v>
      </c>
    </row>
    <row r="124" spans="1:61" ht="12.75">
      <c r="A124" s="4" t="s">
        <v>99</v>
      </c>
      <c r="B124" s="4"/>
      <c r="C124" s="4" t="s">
        <v>470</v>
      </c>
      <c r="D124" s="71" t="s">
        <v>844</v>
      </c>
      <c r="E124" s="4" t="s">
        <v>1123</v>
      </c>
      <c r="F124" s="17">
        <v>22</v>
      </c>
      <c r="G124" s="148">
        <v>0</v>
      </c>
      <c r="H124" s="17">
        <f t="shared" si="170"/>
        <v>0</v>
      </c>
      <c r="I124" s="17">
        <f t="shared" si="171"/>
        <v>0</v>
      </c>
      <c r="J124" s="17">
        <f t="shared" si="172"/>
        <v>0</v>
      </c>
      <c r="K124" s="17">
        <v>0.00047</v>
      </c>
      <c r="L124" s="17">
        <f t="shared" si="173"/>
        <v>0.01034</v>
      </c>
      <c r="Y124" s="31">
        <f t="shared" si="174"/>
        <v>0</v>
      </c>
      <c r="AA124" s="31">
        <f t="shared" si="175"/>
        <v>0</v>
      </c>
      <c r="AB124" s="31">
        <f t="shared" si="176"/>
        <v>0</v>
      </c>
      <c r="AC124" s="31">
        <f t="shared" si="177"/>
        <v>0</v>
      </c>
      <c r="AD124" s="31">
        <f t="shared" si="178"/>
        <v>0</v>
      </c>
      <c r="AE124" s="31">
        <f t="shared" si="179"/>
        <v>0</v>
      </c>
      <c r="AF124" s="31">
        <f t="shared" si="180"/>
        <v>0</v>
      </c>
      <c r="AG124" s="31">
        <f t="shared" si="181"/>
        <v>0</v>
      </c>
      <c r="AH124" s="26"/>
      <c r="AI124" s="17">
        <f t="shared" si="182"/>
        <v>0</v>
      </c>
      <c r="AJ124" s="17">
        <f t="shared" si="183"/>
        <v>0</v>
      </c>
      <c r="AK124" s="17">
        <f t="shared" si="184"/>
        <v>0</v>
      </c>
      <c r="AM124" s="31">
        <v>21</v>
      </c>
      <c r="AN124" s="31">
        <f>G124*0.434453477273475</f>
        <v>0</v>
      </c>
      <c r="AO124" s="31">
        <f>G124*(1-0.434453477273475)</f>
        <v>0</v>
      </c>
      <c r="AP124" s="27" t="s">
        <v>13</v>
      </c>
      <c r="AU124" s="31">
        <f t="shared" si="185"/>
        <v>0</v>
      </c>
      <c r="AV124" s="31">
        <f t="shared" si="186"/>
        <v>0</v>
      </c>
      <c r="AW124" s="31">
        <f t="shared" si="187"/>
        <v>0</v>
      </c>
      <c r="AX124" s="32" t="s">
        <v>1173</v>
      </c>
      <c r="AY124" s="32" t="s">
        <v>1207</v>
      </c>
      <c r="AZ124" s="26" t="s">
        <v>1215</v>
      </c>
      <c r="BB124" s="31">
        <f t="shared" si="188"/>
        <v>0</v>
      </c>
      <c r="BC124" s="31">
        <f t="shared" si="189"/>
        <v>0</v>
      </c>
      <c r="BD124" s="31">
        <v>0</v>
      </c>
      <c r="BE124" s="31">
        <f t="shared" si="190"/>
        <v>0.01034</v>
      </c>
      <c r="BG124" s="17">
        <f t="shared" si="191"/>
        <v>0</v>
      </c>
      <c r="BH124" s="17">
        <f t="shared" si="192"/>
        <v>0</v>
      </c>
      <c r="BI124" s="17">
        <f t="shared" si="193"/>
        <v>0</v>
      </c>
    </row>
    <row r="125" spans="1:61" ht="12.75">
      <c r="A125" s="4" t="s">
        <v>100</v>
      </c>
      <c r="B125" s="4"/>
      <c r="C125" s="4" t="s">
        <v>471</v>
      </c>
      <c r="D125" s="71" t="s">
        <v>845</v>
      </c>
      <c r="E125" s="4" t="s">
        <v>1123</v>
      </c>
      <c r="F125" s="17">
        <v>26</v>
      </c>
      <c r="G125" s="148">
        <v>0</v>
      </c>
      <c r="H125" s="17">
        <f t="shared" si="170"/>
        <v>0</v>
      </c>
      <c r="I125" s="17">
        <f t="shared" si="171"/>
        <v>0</v>
      </c>
      <c r="J125" s="17">
        <f t="shared" si="172"/>
        <v>0</v>
      </c>
      <c r="K125" s="17">
        <v>0.0007</v>
      </c>
      <c r="L125" s="17">
        <f t="shared" si="173"/>
        <v>0.0182</v>
      </c>
      <c r="Y125" s="31">
        <f t="shared" si="174"/>
        <v>0</v>
      </c>
      <c r="AA125" s="31">
        <f t="shared" si="175"/>
        <v>0</v>
      </c>
      <c r="AB125" s="31">
        <f t="shared" si="176"/>
        <v>0</v>
      </c>
      <c r="AC125" s="31">
        <f t="shared" si="177"/>
        <v>0</v>
      </c>
      <c r="AD125" s="31">
        <f t="shared" si="178"/>
        <v>0</v>
      </c>
      <c r="AE125" s="31">
        <f t="shared" si="179"/>
        <v>0</v>
      </c>
      <c r="AF125" s="31">
        <f t="shared" si="180"/>
        <v>0</v>
      </c>
      <c r="AG125" s="31">
        <f t="shared" si="181"/>
        <v>0</v>
      </c>
      <c r="AH125" s="26"/>
      <c r="AI125" s="17">
        <f t="shared" si="182"/>
        <v>0</v>
      </c>
      <c r="AJ125" s="17">
        <f t="shared" si="183"/>
        <v>0</v>
      </c>
      <c r="AK125" s="17">
        <f t="shared" si="184"/>
        <v>0</v>
      </c>
      <c r="AM125" s="31">
        <v>21</v>
      </c>
      <c r="AN125" s="31">
        <f>G125*0.422064912515026</f>
        <v>0</v>
      </c>
      <c r="AO125" s="31">
        <f>G125*(1-0.422064912515026)</f>
        <v>0</v>
      </c>
      <c r="AP125" s="27" t="s">
        <v>13</v>
      </c>
      <c r="AU125" s="31">
        <f t="shared" si="185"/>
        <v>0</v>
      </c>
      <c r="AV125" s="31">
        <f t="shared" si="186"/>
        <v>0</v>
      </c>
      <c r="AW125" s="31">
        <f t="shared" si="187"/>
        <v>0</v>
      </c>
      <c r="AX125" s="32" t="s">
        <v>1173</v>
      </c>
      <c r="AY125" s="32" t="s">
        <v>1207</v>
      </c>
      <c r="AZ125" s="26" t="s">
        <v>1215</v>
      </c>
      <c r="BB125" s="31">
        <f t="shared" si="188"/>
        <v>0</v>
      </c>
      <c r="BC125" s="31">
        <f t="shared" si="189"/>
        <v>0</v>
      </c>
      <c r="BD125" s="31">
        <v>0</v>
      </c>
      <c r="BE125" s="31">
        <f t="shared" si="190"/>
        <v>0.0182</v>
      </c>
      <c r="BG125" s="17">
        <f t="shared" si="191"/>
        <v>0</v>
      </c>
      <c r="BH125" s="17">
        <f t="shared" si="192"/>
        <v>0</v>
      </c>
      <c r="BI125" s="17">
        <f t="shared" si="193"/>
        <v>0</v>
      </c>
    </row>
    <row r="126" spans="1:61" ht="12.75">
      <c r="A126" s="4" t="s">
        <v>101</v>
      </c>
      <c r="B126" s="4"/>
      <c r="C126" s="4" t="s">
        <v>472</v>
      </c>
      <c r="D126" s="71" t="s">
        <v>846</v>
      </c>
      <c r="E126" s="4" t="s">
        <v>1123</v>
      </c>
      <c r="F126" s="17">
        <v>26</v>
      </c>
      <c r="G126" s="148">
        <v>0</v>
      </c>
      <c r="H126" s="17">
        <f t="shared" si="170"/>
        <v>0</v>
      </c>
      <c r="I126" s="17">
        <f t="shared" si="171"/>
        <v>0</v>
      </c>
      <c r="J126" s="17">
        <f t="shared" si="172"/>
        <v>0</v>
      </c>
      <c r="K126" s="17">
        <v>0.00152</v>
      </c>
      <c r="L126" s="17">
        <f t="shared" si="173"/>
        <v>0.03952</v>
      </c>
      <c r="Y126" s="31">
        <f t="shared" si="174"/>
        <v>0</v>
      </c>
      <c r="AA126" s="31">
        <f t="shared" si="175"/>
        <v>0</v>
      </c>
      <c r="AB126" s="31">
        <f t="shared" si="176"/>
        <v>0</v>
      </c>
      <c r="AC126" s="31">
        <f t="shared" si="177"/>
        <v>0</v>
      </c>
      <c r="AD126" s="31">
        <f t="shared" si="178"/>
        <v>0</v>
      </c>
      <c r="AE126" s="31">
        <f t="shared" si="179"/>
        <v>0</v>
      </c>
      <c r="AF126" s="31">
        <f t="shared" si="180"/>
        <v>0</v>
      </c>
      <c r="AG126" s="31">
        <f t="shared" si="181"/>
        <v>0</v>
      </c>
      <c r="AH126" s="26"/>
      <c r="AI126" s="17">
        <f t="shared" si="182"/>
        <v>0</v>
      </c>
      <c r="AJ126" s="17">
        <f t="shared" si="183"/>
        <v>0</v>
      </c>
      <c r="AK126" s="17">
        <f t="shared" si="184"/>
        <v>0</v>
      </c>
      <c r="AM126" s="31">
        <v>21</v>
      </c>
      <c r="AN126" s="31">
        <f>G126*0.342012485798283</f>
        <v>0</v>
      </c>
      <c r="AO126" s="31">
        <f>G126*(1-0.342012485798283)</f>
        <v>0</v>
      </c>
      <c r="AP126" s="27" t="s">
        <v>13</v>
      </c>
      <c r="AU126" s="31">
        <f t="shared" si="185"/>
        <v>0</v>
      </c>
      <c r="AV126" s="31">
        <f t="shared" si="186"/>
        <v>0</v>
      </c>
      <c r="AW126" s="31">
        <f t="shared" si="187"/>
        <v>0</v>
      </c>
      <c r="AX126" s="32" t="s">
        <v>1173</v>
      </c>
      <c r="AY126" s="32" t="s">
        <v>1207</v>
      </c>
      <c r="AZ126" s="26" t="s">
        <v>1215</v>
      </c>
      <c r="BB126" s="31">
        <f t="shared" si="188"/>
        <v>0</v>
      </c>
      <c r="BC126" s="31">
        <f t="shared" si="189"/>
        <v>0</v>
      </c>
      <c r="BD126" s="31">
        <v>0</v>
      </c>
      <c r="BE126" s="31">
        <f t="shared" si="190"/>
        <v>0.03952</v>
      </c>
      <c r="BG126" s="17">
        <f t="shared" si="191"/>
        <v>0</v>
      </c>
      <c r="BH126" s="17">
        <f t="shared" si="192"/>
        <v>0</v>
      </c>
      <c r="BI126" s="17">
        <f t="shared" si="193"/>
        <v>0</v>
      </c>
    </row>
    <row r="127" spans="1:61" ht="12.75">
      <c r="A127" s="4" t="s">
        <v>102</v>
      </c>
      <c r="B127" s="4"/>
      <c r="C127" s="4" t="s">
        <v>473</v>
      </c>
      <c r="D127" s="71" t="s">
        <v>847</v>
      </c>
      <c r="E127" s="4" t="s">
        <v>1120</v>
      </c>
      <c r="F127" s="17">
        <v>2</v>
      </c>
      <c r="G127" s="148">
        <v>0</v>
      </c>
      <c r="H127" s="17">
        <f t="shared" si="170"/>
        <v>0</v>
      </c>
      <c r="I127" s="17">
        <f t="shared" si="171"/>
        <v>0</v>
      </c>
      <c r="J127" s="17">
        <f t="shared" si="172"/>
        <v>0</v>
      </c>
      <c r="K127" s="17">
        <v>9E-05</v>
      </c>
      <c r="L127" s="17">
        <f t="shared" si="173"/>
        <v>0.00018</v>
      </c>
      <c r="Y127" s="31">
        <f t="shared" si="174"/>
        <v>0</v>
      </c>
      <c r="AA127" s="31">
        <f t="shared" si="175"/>
        <v>0</v>
      </c>
      <c r="AB127" s="31">
        <f t="shared" si="176"/>
        <v>0</v>
      </c>
      <c r="AC127" s="31">
        <f t="shared" si="177"/>
        <v>0</v>
      </c>
      <c r="AD127" s="31">
        <f t="shared" si="178"/>
        <v>0</v>
      </c>
      <c r="AE127" s="31">
        <f t="shared" si="179"/>
        <v>0</v>
      </c>
      <c r="AF127" s="31">
        <f t="shared" si="180"/>
        <v>0</v>
      </c>
      <c r="AG127" s="31">
        <f t="shared" si="181"/>
        <v>0</v>
      </c>
      <c r="AH127" s="26"/>
      <c r="AI127" s="17">
        <f t="shared" si="182"/>
        <v>0</v>
      </c>
      <c r="AJ127" s="17">
        <f t="shared" si="183"/>
        <v>0</v>
      </c>
      <c r="AK127" s="17">
        <f t="shared" si="184"/>
        <v>0</v>
      </c>
      <c r="AM127" s="31">
        <v>21</v>
      </c>
      <c r="AN127" s="31">
        <f>G127*0.859042944785276</f>
        <v>0</v>
      </c>
      <c r="AO127" s="31">
        <f>G127*(1-0.859042944785276)</f>
        <v>0</v>
      </c>
      <c r="AP127" s="27" t="s">
        <v>13</v>
      </c>
      <c r="AU127" s="31">
        <f t="shared" si="185"/>
        <v>0</v>
      </c>
      <c r="AV127" s="31">
        <f t="shared" si="186"/>
        <v>0</v>
      </c>
      <c r="AW127" s="31">
        <f t="shared" si="187"/>
        <v>0</v>
      </c>
      <c r="AX127" s="32" t="s">
        <v>1173</v>
      </c>
      <c r="AY127" s="32" t="s">
        <v>1207</v>
      </c>
      <c r="AZ127" s="26" t="s">
        <v>1215</v>
      </c>
      <c r="BB127" s="31">
        <f t="shared" si="188"/>
        <v>0</v>
      </c>
      <c r="BC127" s="31">
        <f t="shared" si="189"/>
        <v>0</v>
      </c>
      <c r="BD127" s="31">
        <v>0</v>
      </c>
      <c r="BE127" s="31">
        <f t="shared" si="190"/>
        <v>0.00018</v>
      </c>
      <c r="BG127" s="17">
        <f t="shared" si="191"/>
        <v>0</v>
      </c>
      <c r="BH127" s="17">
        <f t="shared" si="192"/>
        <v>0</v>
      </c>
      <c r="BI127" s="17">
        <f t="shared" si="193"/>
        <v>0</v>
      </c>
    </row>
    <row r="128" spans="1:61" ht="12.75">
      <c r="A128" s="4" t="s">
        <v>103</v>
      </c>
      <c r="B128" s="4"/>
      <c r="C128" s="4" t="s">
        <v>474</v>
      </c>
      <c r="D128" s="71" t="s">
        <v>848</v>
      </c>
      <c r="E128" s="4" t="s">
        <v>1120</v>
      </c>
      <c r="F128" s="17">
        <v>5</v>
      </c>
      <c r="G128" s="148">
        <v>0</v>
      </c>
      <c r="H128" s="17">
        <f t="shared" si="170"/>
        <v>0</v>
      </c>
      <c r="I128" s="17">
        <f t="shared" si="171"/>
        <v>0</v>
      </c>
      <c r="J128" s="17">
        <f t="shared" si="172"/>
        <v>0</v>
      </c>
      <c r="K128" s="17">
        <v>0.00024</v>
      </c>
      <c r="L128" s="17">
        <f t="shared" si="173"/>
        <v>0.0012000000000000001</v>
      </c>
      <c r="Y128" s="31">
        <f t="shared" si="174"/>
        <v>0</v>
      </c>
      <c r="AA128" s="31">
        <f t="shared" si="175"/>
        <v>0</v>
      </c>
      <c r="AB128" s="31">
        <f t="shared" si="176"/>
        <v>0</v>
      </c>
      <c r="AC128" s="31">
        <f t="shared" si="177"/>
        <v>0</v>
      </c>
      <c r="AD128" s="31">
        <f t="shared" si="178"/>
        <v>0</v>
      </c>
      <c r="AE128" s="31">
        <f t="shared" si="179"/>
        <v>0</v>
      </c>
      <c r="AF128" s="31">
        <f t="shared" si="180"/>
        <v>0</v>
      </c>
      <c r="AG128" s="31">
        <f t="shared" si="181"/>
        <v>0</v>
      </c>
      <c r="AH128" s="26"/>
      <c r="AI128" s="17">
        <f t="shared" si="182"/>
        <v>0</v>
      </c>
      <c r="AJ128" s="17">
        <f t="shared" si="183"/>
        <v>0</v>
      </c>
      <c r="AK128" s="17">
        <f t="shared" si="184"/>
        <v>0</v>
      </c>
      <c r="AM128" s="31">
        <v>21</v>
      </c>
      <c r="AN128" s="31">
        <f>G128*0.857539682539682</f>
        <v>0</v>
      </c>
      <c r="AO128" s="31">
        <f>G128*(1-0.857539682539682)</f>
        <v>0</v>
      </c>
      <c r="AP128" s="27" t="s">
        <v>13</v>
      </c>
      <c r="AU128" s="31">
        <f t="shared" si="185"/>
        <v>0</v>
      </c>
      <c r="AV128" s="31">
        <f t="shared" si="186"/>
        <v>0</v>
      </c>
      <c r="AW128" s="31">
        <f t="shared" si="187"/>
        <v>0</v>
      </c>
      <c r="AX128" s="32" t="s">
        <v>1173</v>
      </c>
      <c r="AY128" s="32" t="s">
        <v>1207</v>
      </c>
      <c r="AZ128" s="26" t="s">
        <v>1215</v>
      </c>
      <c r="BB128" s="31">
        <f t="shared" si="188"/>
        <v>0</v>
      </c>
      <c r="BC128" s="31">
        <f t="shared" si="189"/>
        <v>0</v>
      </c>
      <c r="BD128" s="31">
        <v>0</v>
      </c>
      <c r="BE128" s="31">
        <f t="shared" si="190"/>
        <v>0.0012000000000000001</v>
      </c>
      <c r="BG128" s="17">
        <f t="shared" si="191"/>
        <v>0</v>
      </c>
      <c r="BH128" s="17">
        <f t="shared" si="192"/>
        <v>0</v>
      </c>
      <c r="BI128" s="17">
        <f t="shared" si="193"/>
        <v>0</v>
      </c>
    </row>
    <row r="129" spans="1:61" ht="12.75">
      <c r="A129" s="4" t="s">
        <v>104</v>
      </c>
      <c r="B129" s="4"/>
      <c r="C129" s="4" t="s">
        <v>475</v>
      </c>
      <c r="D129" s="71" t="s">
        <v>849</v>
      </c>
      <c r="E129" s="4" t="s">
        <v>1120</v>
      </c>
      <c r="F129" s="17">
        <v>2</v>
      </c>
      <c r="G129" s="148">
        <v>0</v>
      </c>
      <c r="H129" s="17">
        <f t="shared" si="170"/>
        <v>0</v>
      </c>
      <c r="I129" s="17">
        <f t="shared" si="171"/>
        <v>0</v>
      </c>
      <c r="J129" s="17">
        <f t="shared" si="172"/>
        <v>0</v>
      </c>
      <c r="K129" s="17">
        <v>0.0006</v>
      </c>
      <c r="L129" s="17">
        <f t="shared" si="173"/>
        <v>0.0012</v>
      </c>
      <c r="Y129" s="31">
        <f t="shared" si="174"/>
        <v>0</v>
      </c>
      <c r="AA129" s="31">
        <f t="shared" si="175"/>
        <v>0</v>
      </c>
      <c r="AB129" s="31">
        <f t="shared" si="176"/>
        <v>0</v>
      </c>
      <c r="AC129" s="31">
        <f t="shared" si="177"/>
        <v>0</v>
      </c>
      <c r="AD129" s="31">
        <f t="shared" si="178"/>
        <v>0</v>
      </c>
      <c r="AE129" s="31">
        <f t="shared" si="179"/>
        <v>0</v>
      </c>
      <c r="AF129" s="31">
        <f t="shared" si="180"/>
        <v>0</v>
      </c>
      <c r="AG129" s="31">
        <f t="shared" si="181"/>
        <v>0</v>
      </c>
      <c r="AH129" s="26"/>
      <c r="AI129" s="17">
        <f t="shared" si="182"/>
        <v>0</v>
      </c>
      <c r="AJ129" s="17">
        <f t="shared" si="183"/>
        <v>0</v>
      </c>
      <c r="AK129" s="17">
        <f t="shared" si="184"/>
        <v>0</v>
      </c>
      <c r="AM129" s="31">
        <v>21</v>
      </c>
      <c r="AN129" s="31">
        <f>G129*0.858657718120805</f>
        <v>0</v>
      </c>
      <c r="AO129" s="31">
        <f>G129*(1-0.858657718120805)</f>
        <v>0</v>
      </c>
      <c r="AP129" s="27" t="s">
        <v>13</v>
      </c>
      <c r="AU129" s="31">
        <f t="shared" si="185"/>
        <v>0</v>
      </c>
      <c r="AV129" s="31">
        <f t="shared" si="186"/>
        <v>0</v>
      </c>
      <c r="AW129" s="31">
        <f t="shared" si="187"/>
        <v>0</v>
      </c>
      <c r="AX129" s="32" t="s">
        <v>1173</v>
      </c>
      <c r="AY129" s="32" t="s">
        <v>1207</v>
      </c>
      <c r="AZ129" s="26" t="s">
        <v>1215</v>
      </c>
      <c r="BB129" s="31">
        <f t="shared" si="188"/>
        <v>0</v>
      </c>
      <c r="BC129" s="31">
        <f t="shared" si="189"/>
        <v>0</v>
      </c>
      <c r="BD129" s="31">
        <v>0</v>
      </c>
      <c r="BE129" s="31">
        <f t="shared" si="190"/>
        <v>0.0012</v>
      </c>
      <c r="BG129" s="17">
        <f t="shared" si="191"/>
        <v>0</v>
      </c>
      <c r="BH129" s="17">
        <f t="shared" si="192"/>
        <v>0</v>
      </c>
      <c r="BI129" s="17">
        <f t="shared" si="193"/>
        <v>0</v>
      </c>
    </row>
    <row r="130" spans="1:61" ht="12.75">
      <c r="A130" s="4" t="s">
        <v>105</v>
      </c>
      <c r="B130" s="4"/>
      <c r="C130" s="4" t="s">
        <v>476</v>
      </c>
      <c r="D130" s="71" t="s">
        <v>850</v>
      </c>
      <c r="E130" s="4" t="s">
        <v>1120</v>
      </c>
      <c r="F130" s="17">
        <v>5</v>
      </c>
      <c r="G130" s="148">
        <v>0</v>
      </c>
      <c r="H130" s="17">
        <f t="shared" si="170"/>
        <v>0</v>
      </c>
      <c r="I130" s="17">
        <f t="shared" si="171"/>
        <v>0</v>
      </c>
      <c r="J130" s="17">
        <f t="shared" si="172"/>
        <v>0</v>
      </c>
      <c r="K130" s="17">
        <v>0.00049</v>
      </c>
      <c r="L130" s="17">
        <f t="shared" si="173"/>
        <v>0.00245</v>
      </c>
      <c r="Y130" s="31">
        <f t="shared" si="174"/>
        <v>0</v>
      </c>
      <c r="AA130" s="31">
        <f t="shared" si="175"/>
        <v>0</v>
      </c>
      <c r="AB130" s="31">
        <f t="shared" si="176"/>
        <v>0</v>
      </c>
      <c r="AC130" s="31">
        <f t="shared" si="177"/>
        <v>0</v>
      </c>
      <c r="AD130" s="31">
        <f t="shared" si="178"/>
        <v>0</v>
      </c>
      <c r="AE130" s="31">
        <f t="shared" si="179"/>
        <v>0</v>
      </c>
      <c r="AF130" s="31">
        <f t="shared" si="180"/>
        <v>0</v>
      </c>
      <c r="AG130" s="31">
        <f t="shared" si="181"/>
        <v>0</v>
      </c>
      <c r="AH130" s="26"/>
      <c r="AI130" s="17">
        <f t="shared" si="182"/>
        <v>0</v>
      </c>
      <c r="AJ130" s="17">
        <f t="shared" si="183"/>
        <v>0</v>
      </c>
      <c r="AK130" s="17">
        <f t="shared" si="184"/>
        <v>0</v>
      </c>
      <c r="AM130" s="31">
        <v>21</v>
      </c>
      <c r="AN130" s="31">
        <f>G130*0.956554054054054</f>
        <v>0</v>
      </c>
      <c r="AO130" s="31">
        <f>G130*(1-0.956554054054054)</f>
        <v>0</v>
      </c>
      <c r="AP130" s="27" t="s">
        <v>13</v>
      </c>
      <c r="AU130" s="31">
        <f t="shared" si="185"/>
        <v>0</v>
      </c>
      <c r="AV130" s="31">
        <f t="shared" si="186"/>
        <v>0</v>
      </c>
      <c r="AW130" s="31">
        <f t="shared" si="187"/>
        <v>0</v>
      </c>
      <c r="AX130" s="32" t="s">
        <v>1173</v>
      </c>
      <c r="AY130" s="32" t="s">
        <v>1207</v>
      </c>
      <c r="AZ130" s="26" t="s">
        <v>1215</v>
      </c>
      <c r="BB130" s="31">
        <f t="shared" si="188"/>
        <v>0</v>
      </c>
      <c r="BC130" s="31">
        <f t="shared" si="189"/>
        <v>0</v>
      </c>
      <c r="BD130" s="31">
        <v>0</v>
      </c>
      <c r="BE130" s="31">
        <f t="shared" si="190"/>
        <v>0.00245</v>
      </c>
      <c r="BG130" s="17">
        <f t="shared" si="191"/>
        <v>0</v>
      </c>
      <c r="BH130" s="17">
        <f t="shared" si="192"/>
        <v>0</v>
      </c>
      <c r="BI130" s="17">
        <f t="shared" si="193"/>
        <v>0</v>
      </c>
    </row>
    <row r="131" spans="1:61" ht="12.75">
      <c r="A131" s="4" t="s">
        <v>106</v>
      </c>
      <c r="B131" s="4"/>
      <c r="C131" s="4" t="s">
        <v>477</v>
      </c>
      <c r="D131" s="71" t="s">
        <v>851</v>
      </c>
      <c r="E131" s="4" t="s">
        <v>1120</v>
      </c>
      <c r="F131" s="17">
        <v>2</v>
      </c>
      <c r="G131" s="148">
        <v>0</v>
      </c>
      <c r="H131" s="17">
        <f t="shared" si="170"/>
        <v>0</v>
      </c>
      <c r="I131" s="17">
        <f t="shared" si="171"/>
        <v>0</v>
      </c>
      <c r="J131" s="17">
        <f t="shared" si="172"/>
        <v>0</v>
      </c>
      <c r="K131" s="17">
        <v>0.00038</v>
      </c>
      <c r="L131" s="17">
        <f t="shared" si="173"/>
        <v>0.00076</v>
      </c>
      <c r="Y131" s="31">
        <f t="shared" si="174"/>
        <v>0</v>
      </c>
      <c r="AA131" s="31">
        <f t="shared" si="175"/>
        <v>0</v>
      </c>
      <c r="AB131" s="31">
        <f t="shared" si="176"/>
        <v>0</v>
      </c>
      <c r="AC131" s="31">
        <f t="shared" si="177"/>
        <v>0</v>
      </c>
      <c r="AD131" s="31">
        <f t="shared" si="178"/>
        <v>0</v>
      </c>
      <c r="AE131" s="31">
        <f t="shared" si="179"/>
        <v>0</v>
      </c>
      <c r="AF131" s="31">
        <f t="shared" si="180"/>
        <v>0</v>
      </c>
      <c r="AG131" s="31">
        <f t="shared" si="181"/>
        <v>0</v>
      </c>
      <c r="AH131" s="26"/>
      <c r="AI131" s="17">
        <f t="shared" si="182"/>
        <v>0</v>
      </c>
      <c r="AJ131" s="17">
        <f t="shared" si="183"/>
        <v>0</v>
      </c>
      <c r="AK131" s="17">
        <f t="shared" si="184"/>
        <v>0</v>
      </c>
      <c r="AM131" s="31">
        <v>21</v>
      </c>
      <c r="AN131" s="31">
        <f>G131*0.969542105263158</f>
        <v>0</v>
      </c>
      <c r="AO131" s="31">
        <f>G131*(1-0.969542105263158)</f>
        <v>0</v>
      </c>
      <c r="AP131" s="27" t="s">
        <v>13</v>
      </c>
      <c r="AU131" s="31">
        <f t="shared" si="185"/>
        <v>0</v>
      </c>
      <c r="AV131" s="31">
        <f t="shared" si="186"/>
        <v>0</v>
      </c>
      <c r="AW131" s="31">
        <f t="shared" si="187"/>
        <v>0</v>
      </c>
      <c r="AX131" s="32" t="s">
        <v>1173</v>
      </c>
      <c r="AY131" s="32" t="s">
        <v>1207</v>
      </c>
      <c r="AZ131" s="26" t="s">
        <v>1215</v>
      </c>
      <c r="BB131" s="31">
        <f t="shared" si="188"/>
        <v>0</v>
      </c>
      <c r="BC131" s="31">
        <f t="shared" si="189"/>
        <v>0</v>
      </c>
      <c r="BD131" s="31">
        <v>0</v>
      </c>
      <c r="BE131" s="31">
        <f t="shared" si="190"/>
        <v>0.00076</v>
      </c>
      <c r="BG131" s="17">
        <f t="shared" si="191"/>
        <v>0</v>
      </c>
      <c r="BH131" s="17">
        <f t="shared" si="192"/>
        <v>0</v>
      </c>
      <c r="BI131" s="17">
        <f t="shared" si="193"/>
        <v>0</v>
      </c>
    </row>
    <row r="132" spans="1:61" ht="12.75">
      <c r="A132" s="4" t="s">
        <v>107</v>
      </c>
      <c r="B132" s="4"/>
      <c r="C132" s="4" t="s">
        <v>478</v>
      </c>
      <c r="D132" s="71" t="s">
        <v>852</v>
      </c>
      <c r="E132" s="4" t="s">
        <v>1120</v>
      </c>
      <c r="F132" s="17">
        <v>5</v>
      </c>
      <c r="G132" s="148">
        <v>0</v>
      </c>
      <c r="H132" s="17">
        <f t="shared" si="170"/>
        <v>0</v>
      </c>
      <c r="I132" s="17">
        <f t="shared" si="171"/>
        <v>0</v>
      </c>
      <c r="J132" s="17">
        <f t="shared" si="172"/>
        <v>0</v>
      </c>
      <c r="K132" s="17">
        <v>0.07663</v>
      </c>
      <c r="L132" s="17">
        <f t="shared" si="173"/>
        <v>0.38315</v>
      </c>
      <c r="Y132" s="31">
        <f t="shared" si="174"/>
        <v>0</v>
      </c>
      <c r="AA132" s="31">
        <f t="shared" si="175"/>
        <v>0</v>
      </c>
      <c r="AB132" s="31">
        <f t="shared" si="176"/>
        <v>0</v>
      </c>
      <c r="AC132" s="31">
        <f t="shared" si="177"/>
        <v>0</v>
      </c>
      <c r="AD132" s="31">
        <f t="shared" si="178"/>
        <v>0</v>
      </c>
      <c r="AE132" s="31">
        <f t="shared" si="179"/>
        <v>0</v>
      </c>
      <c r="AF132" s="31">
        <f t="shared" si="180"/>
        <v>0</v>
      </c>
      <c r="AG132" s="31">
        <f t="shared" si="181"/>
        <v>0</v>
      </c>
      <c r="AH132" s="26"/>
      <c r="AI132" s="17">
        <f t="shared" si="182"/>
        <v>0</v>
      </c>
      <c r="AJ132" s="17">
        <f t="shared" si="183"/>
        <v>0</v>
      </c>
      <c r="AK132" s="17">
        <f t="shared" si="184"/>
        <v>0</v>
      </c>
      <c r="AM132" s="31">
        <v>21</v>
      </c>
      <c r="AN132" s="31">
        <f>G132*0.917759450171821</f>
        <v>0</v>
      </c>
      <c r="AO132" s="31">
        <f>G132*(1-0.917759450171821)</f>
        <v>0</v>
      </c>
      <c r="AP132" s="27" t="s">
        <v>13</v>
      </c>
      <c r="AU132" s="31">
        <f t="shared" si="185"/>
        <v>0</v>
      </c>
      <c r="AV132" s="31">
        <f t="shared" si="186"/>
        <v>0</v>
      </c>
      <c r="AW132" s="31">
        <f t="shared" si="187"/>
        <v>0</v>
      </c>
      <c r="AX132" s="32" t="s">
        <v>1173</v>
      </c>
      <c r="AY132" s="32" t="s">
        <v>1207</v>
      </c>
      <c r="AZ132" s="26" t="s">
        <v>1215</v>
      </c>
      <c r="BB132" s="31">
        <f t="shared" si="188"/>
        <v>0</v>
      </c>
      <c r="BC132" s="31">
        <f t="shared" si="189"/>
        <v>0</v>
      </c>
      <c r="BD132" s="31">
        <v>0</v>
      </c>
      <c r="BE132" s="31">
        <f t="shared" si="190"/>
        <v>0.38315</v>
      </c>
      <c r="BG132" s="17">
        <f t="shared" si="191"/>
        <v>0</v>
      </c>
      <c r="BH132" s="17">
        <f t="shared" si="192"/>
        <v>0</v>
      </c>
      <c r="BI132" s="17">
        <f t="shared" si="193"/>
        <v>0</v>
      </c>
    </row>
    <row r="133" spans="1:61" ht="12.75">
      <c r="A133" s="4" t="s">
        <v>108</v>
      </c>
      <c r="B133" s="4"/>
      <c r="C133" s="4" t="s">
        <v>479</v>
      </c>
      <c r="D133" s="71" t="s">
        <v>853</v>
      </c>
      <c r="E133" s="4" t="s">
        <v>1120</v>
      </c>
      <c r="F133" s="17">
        <v>1</v>
      </c>
      <c r="G133" s="148">
        <v>0</v>
      </c>
      <c r="H133" s="17">
        <f t="shared" si="170"/>
        <v>0</v>
      </c>
      <c r="I133" s="17">
        <f t="shared" si="171"/>
        <v>0</v>
      </c>
      <c r="J133" s="17">
        <f t="shared" si="172"/>
        <v>0</v>
      </c>
      <c r="K133" s="17">
        <v>0.00209</v>
      </c>
      <c r="L133" s="17">
        <f t="shared" si="173"/>
        <v>0.00209</v>
      </c>
      <c r="Y133" s="31">
        <f t="shared" si="174"/>
        <v>0</v>
      </c>
      <c r="AA133" s="31">
        <f t="shared" si="175"/>
        <v>0</v>
      </c>
      <c r="AB133" s="31">
        <f t="shared" si="176"/>
        <v>0</v>
      </c>
      <c r="AC133" s="31">
        <f t="shared" si="177"/>
        <v>0</v>
      </c>
      <c r="AD133" s="31">
        <f t="shared" si="178"/>
        <v>0</v>
      </c>
      <c r="AE133" s="31">
        <f t="shared" si="179"/>
        <v>0</v>
      </c>
      <c r="AF133" s="31">
        <f t="shared" si="180"/>
        <v>0</v>
      </c>
      <c r="AG133" s="31">
        <f t="shared" si="181"/>
        <v>0</v>
      </c>
      <c r="AH133" s="26"/>
      <c r="AI133" s="17">
        <f t="shared" si="182"/>
        <v>0</v>
      </c>
      <c r="AJ133" s="17">
        <f t="shared" si="183"/>
        <v>0</v>
      </c>
      <c r="AK133" s="17">
        <f t="shared" si="184"/>
        <v>0</v>
      </c>
      <c r="AM133" s="31">
        <v>21</v>
      </c>
      <c r="AN133" s="31">
        <f>G133*0.49621060501305</f>
        <v>0</v>
      </c>
      <c r="AO133" s="31">
        <f>G133*(1-0.49621060501305)</f>
        <v>0</v>
      </c>
      <c r="AP133" s="27" t="s">
        <v>13</v>
      </c>
      <c r="AU133" s="31">
        <f t="shared" si="185"/>
        <v>0</v>
      </c>
      <c r="AV133" s="31">
        <f t="shared" si="186"/>
        <v>0</v>
      </c>
      <c r="AW133" s="31">
        <f t="shared" si="187"/>
        <v>0</v>
      </c>
      <c r="AX133" s="32" t="s">
        <v>1173</v>
      </c>
      <c r="AY133" s="32" t="s">
        <v>1207</v>
      </c>
      <c r="AZ133" s="26" t="s">
        <v>1215</v>
      </c>
      <c r="BB133" s="31">
        <f t="shared" si="188"/>
        <v>0</v>
      </c>
      <c r="BC133" s="31">
        <f t="shared" si="189"/>
        <v>0</v>
      </c>
      <c r="BD133" s="31">
        <v>0</v>
      </c>
      <c r="BE133" s="31">
        <f t="shared" si="190"/>
        <v>0.00209</v>
      </c>
      <c r="BG133" s="17">
        <f t="shared" si="191"/>
        <v>0</v>
      </c>
      <c r="BH133" s="17">
        <f t="shared" si="192"/>
        <v>0</v>
      </c>
      <c r="BI133" s="17">
        <f t="shared" si="193"/>
        <v>0</v>
      </c>
    </row>
    <row r="134" spans="1:61" ht="12.75">
      <c r="A134" s="4" t="s">
        <v>109</v>
      </c>
      <c r="B134" s="4"/>
      <c r="C134" s="4" t="s">
        <v>480</v>
      </c>
      <c r="D134" s="71" t="s">
        <v>854</v>
      </c>
      <c r="E134" s="4" t="s">
        <v>1124</v>
      </c>
      <c r="F134" s="17">
        <v>1</v>
      </c>
      <c r="G134" s="148">
        <v>0</v>
      </c>
      <c r="H134" s="17">
        <f t="shared" si="170"/>
        <v>0</v>
      </c>
      <c r="I134" s="17">
        <f t="shared" si="171"/>
        <v>0</v>
      </c>
      <c r="J134" s="17">
        <f t="shared" si="172"/>
        <v>0</v>
      </c>
      <c r="K134" s="17">
        <v>0</v>
      </c>
      <c r="L134" s="17">
        <f t="shared" si="173"/>
        <v>0</v>
      </c>
      <c r="Y134" s="31">
        <f t="shared" si="174"/>
        <v>0</v>
      </c>
      <c r="AA134" s="31">
        <f t="shared" si="175"/>
        <v>0</v>
      </c>
      <c r="AB134" s="31">
        <f t="shared" si="176"/>
        <v>0</v>
      </c>
      <c r="AC134" s="31">
        <f t="shared" si="177"/>
        <v>0</v>
      </c>
      <c r="AD134" s="31">
        <f t="shared" si="178"/>
        <v>0</v>
      </c>
      <c r="AE134" s="31">
        <f t="shared" si="179"/>
        <v>0</v>
      </c>
      <c r="AF134" s="31">
        <f t="shared" si="180"/>
        <v>0</v>
      </c>
      <c r="AG134" s="31">
        <f t="shared" si="181"/>
        <v>0</v>
      </c>
      <c r="AH134" s="26"/>
      <c r="AI134" s="17">
        <f t="shared" si="182"/>
        <v>0</v>
      </c>
      <c r="AJ134" s="17">
        <f t="shared" si="183"/>
        <v>0</v>
      </c>
      <c r="AK134" s="17">
        <f t="shared" si="184"/>
        <v>0</v>
      </c>
      <c r="AM134" s="31">
        <v>21</v>
      </c>
      <c r="AN134" s="31">
        <f>G134*0.823529411764706</f>
        <v>0</v>
      </c>
      <c r="AO134" s="31">
        <f>G134*(1-0.823529411764706)</f>
        <v>0</v>
      </c>
      <c r="AP134" s="27" t="s">
        <v>13</v>
      </c>
      <c r="AU134" s="31">
        <f t="shared" si="185"/>
        <v>0</v>
      </c>
      <c r="AV134" s="31">
        <f t="shared" si="186"/>
        <v>0</v>
      </c>
      <c r="AW134" s="31">
        <f t="shared" si="187"/>
        <v>0</v>
      </c>
      <c r="AX134" s="32" t="s">
        <v>1173</v>
      </c>
      <c r="AY134" s="32" t="s">
        <v>1207</v>
      </c>
      <c r="AZ134" s="26" t="s">
        <v>1215</v>
      </c>
      <c r="BB134" s="31">
        <f t="shared" si="188"/>
        <v>0</v>
      </c>
      <c r="BC134" s="31">
        <f t="shared" si="189"/>
        <v>0</v>
      </c>
      <c r="BD134" s="31">
        <v>0</v>
      </c>
      <c r="BE134" s="31">
        <f t="shared" si="190"/>
        <v>0</v>
      </c>
      <c r="BG134" s="17">
        <f t="shared" si="191"/>
        <v>0</v>
      </c>
      <c r="BH134" s="17">
        <f t="shared" si="192"/>
        <v>0</v>
      </c>
      <c r="BI134" s="17">
        <f t="shared" si="193"/>
        <v>0</v>
      </c>
    </row>
    <row r="135" spans="1:61" ht="12.75">
      <c r="A135" s="4" t="s">
        <v>110</v>
      </c>
      <c r="B135" s="4"/>
      <c r="C135" s="4" t="s">
        <v>481</v>
      </c>
      <c r="D135" s="71" t="s">
        <v>855</v>
      </c>
      <c r="E135" s="4" t="s">
        <v>1123</v>
      </c>
      <c r="F135" s="17">
        <v>251</v>
      </c>
      <c r="G135" s="148">
        <v>0</v>
      </c>
      <c r="H135" s="17">
        <f t="shared" si="170"/>
        <v>0</v>
      </c>
      <c r="I135" s="17">
        <f t="shared" si="171"/>
        <v>0</v>
      </c>
      <c r="J135" s="17">
        <f t="shared" si="172"/>
        <v>0</v>
      </c>
      <c r="K135" s="17">
        <v>0</v>
      </c>
      <c r="L135" s="17">
        <f t="shared" si="173"/>
        <v>0</v>
      </c>
      <c r="Y135" s="31">
        <f t="shared" si="174"/>
        <v>0</v>
      </c>
      <c r="AA135" s="31">
        <f t="shared" si="175"/>
        <v>0</v>
      </c>
      <c r="AB135" s="31">
        <f t="shared" si="176"/>
        <v>0</v>
      </c>
      <c r="AC135" s="31">
        <f t="shared" si="177"/>
        <v>0</v>
      </c>
      <c r="AD135" s="31">
        <f t="shared" si="178"/>
        <v>0</v>
      </c>
      <c r="AE135" s="31">
        <f t="shared" si="179"/>
        <v>0</v>
      </c>
      <c r="AF135" s="31">
        <f t="shared" si="180"/>
        <v>0</v>
      </c>
      <c r="AG135" s="31">
        <f t="shared" si="181"/>
        <v>0</v>
      </c>
      <c r="AH135" s="26"/>
      <c r="AI135" s="17">
        <f t="shared" si="182"/>
        <v>0</v>
      </c>
      <c r="AJ135" s="17">
        <f t="shared" si="183"/>
        <v>0</v>
      </c>
      <c r="AK135" s="17">
        <f t="shared" si="184"/>
        <v>0</v>
      </c>
      <c r="AM135" s="31">
        <v>21</v>
      </c>
      <c r="AN135" s="31">
        <f>G135*0.0807817589576547</f>
        <v>0</v>
      </c>
      <c r="AO135" s="31">
        <f>G135*(1-0.0807817589576547)</f>
        <v>0</v>
      </c>
      <c r="AP135" s="27" t="s">
        <v>13</v>
      </c>
      <c r="AU135" s="31">
        <f t="shared" si="185"/>
        <v>0</v>
      </c>
      <c r="AV135" s="31">
        <f t="shared" si="186"/>
        <v>0</v>
      </c>
      <c r="AW135" s="31">
        <f t="shared" si="187"/>
        <v>0</v>
      </c>
      <c r="AX135" s="32" t="s">
        <v>1173</v>
      </c>
      <c r="AY135" s="32" t="s">
        <v>1207</v>
      </c>
      <c r="AZ135" s="26" t="s">
        <v>1215</v>
      </c>
      <c r="BB135" s="31">
        <f t="shared" si="188"/>
        <v>0</v>
      </c>
      <c r="BC135" s="31">
        <f t="shared" si="189"/>
        <v>0</v>
      </c>
      <c r="BD135" s="31">
        <v>0</v>
      </c>
      <c r="BE135" s="31">
        <f t="shared" si="190"/>
        <v>0</v>
      </c>
      <c r="BG135" s="17">
        <f t="shared" si="191"/>
        <v>0</v>
      </c>
      <c r="BH135" s="17">
        <f t="shared" si="192"/>
        <v>0</v>
      </c>
      <c r="BI135" s="17">
        <f t="shared" si="193"/>
        <v>0</v>
      </c>
    </row>
    <row r="136" spans="1:46" ht="12.75">
      <c r="A136" s="6"/>
      <c r="B136" s="13"/>
      <c r="C136" s="13" t="s">
        <v>482</v>
      </c>
      <c r="D136" s="73" t="s">
        <v>856</v>
      </c>
      <c r="E136" s="6" t="s">
        <v>6</v>
      </c>
      <c r="F136" s="6" t="s">
        <v>6</v>
      </c>
      <c r="G136" s="151" t="s">
        <v>6</v>
      </c>
      <c r="H136" s="34">
        <f>SUM(H137:H170)</f>
        <v>0</v>
      </c>
      <c r="I136" s="34">
        <f>SUM(I137:I170)</f>
        <v>0</v>
      </c>
      <c r="J136" s="34">
        <f>SUM(J137:J170)</f>
        <v>0</v>
      </c>
      <c r="K136" s="26"/>
      <c r="L136" s="34">
        <f>SUM(L137:L170)</f>
        <v>8.64301</v>
      </c>
      <c r="AH136" s="26"/>
      <c r="AR136" s="34">
        <f>SUM(AI137:AI170)</f>
        <v>0</v>
      </c>
      <c r="AS136" s="34">
        <f>SUM(AJ137:AJ170)</f>
        <v>0</v>
      </c>
      <c r="AT136" s="34">
        <f>SUM(AK137:AK170)</f>
        <v>0</v>
      </c>
    </row>
    <row r="137" spans="1:61" ht="12.75">
      <c r="A137" s="4" t="s">
        <v>111</v>
      </c>
      <c r="B137" s="4"/>
      <c r="C137" s="4" t="s">
        <v>483</v>
      </c>
      <c r="D137" s="71" t="s">
        <v>857</v>
      </c>
      <c r="E137" s="4" t="s">
        <v>1123</v>
      </c>
      <c r="F137" s="17">
        <v>171</v>
      </c>
      <c r="G137" s="148">
        <v>0</v>
      </c>
      <c r="H137" s="17">
        <f aca="true" t="shared" si="194" ref="H137:H170">F137*AN137</f>
        <v>0</v>
      </c>
      <c r="I137" s="17">
        <f aca="true" t="shared" si="195" ref="I137:I170">F137*AO137</f>
        <v>0</v>
      </c>
      <c r="J137" s="17">
        <f aca="true" t="shared" si="196" ref="J137:J170">F137*G137</f>
        <v>0</v>
      </c>
      <c r="K137" s="17">
        <v>0.00028</v>
      </c>
      <c r="L137" s="17">
        <f aca="true" t="shared" si="197" ref="L137:L170">F137*K137</f>
        <v>0.04788</v>
      </c>
      <c r="Y137" s="31">
        <f aca="true" t="shared" si="198" ref="Y137:Y170">IF(AP137="5",BI137,0)</f>
        <v>0</v>
      </c>
      <c r="AA137" s="31">
        <f aca="true" t="shared" si="199" ref="AA137:AA170">IF(AP137="1",BG137,0)</f>
        <v>0</v>
      </c>
      <c r="AB137" s="31">
        <f aca="true" t="shared" si="200" ref="AB137:AB170">IF(AP137="1",BH137,0)</f>
        <v>0</v>
      </c>
      <c r="AC137" s="31">
        <f aca="true" t="shared" si="201" ref="AC137:AC170">IF(AP137="7",BG137,0)</f>
        <v>0</v>
      </c>
      <c r="AD137" s="31">
        <f aca="true" t="shared" si="202" ref="AD137:AD170">IF(AP137="7",BH137,0)</f>
        <v>0</v>
      </c>
      <c r="AE137" s="31">
        <f aca="true" t="shared" si="203" ref="AE137:AE170">IF(AP137="2",BG137,0)</f>
        <v>0</v>
      </c>
      <c r="AF137" s="31">
        <f aca="true" t="shared" si="204" ref="AF137:AF170">IF(AP137="2",BH137,0)</f>
        <v>0</v>
      </c>
      <c r="AG137" s="31">
        <f aca="true" t="shared" si="205" ref="AG137:AG170">IF(AP137="0",BI137,0)</f>
        <v>0</v>
      </c>
      <c r="AH137" s="26"/>
      <c r="AI137" s="17">
        <f aca="true" t="shared" si="206" ref="AI137:AI170">IF(AM137=0,J137,0)</f>
        <v>0</v>
      </c>
      <c r="AJ137" s="17">
        <f aca="true" t="shared" si="207" ref="AJ137:AJ170">IF(AM137=15,J137,0)</f>
        <v>0</v>
      </c>
      <c r="AK137" s="17">
        <f aca="true" t="shared" si="208" ref="AK137:AK170">IF(AM137=21,J137,0)</f>
        <v>0</v>
      </c>
      <c r="AM137" s="31">
        <v>21</v>
      </c>
      <c r="AN137" s="31">
        <f>G137*0.082289109934117</f>
        <v>0</v>
      </c>
      <c r="AO137" s="31">
        <f>G137*(1-0.082289109934117)</f>
        <v>0</v>
      </c>
      <c r="AP137" s="27" t="s">
        <v>13</v>
      </c>
      <c r="AU137" s="31">
        <f aca="true" t="shared" si="209" ref="AU137:AU170">AV137+AW137</f>
        <v>0</v>
      </c>
      <c r="AV137" s="31">
        <f aca="true" t="shared" si="210" ref="AV137:AV170">F137*AN137</f>
        <v>0</v>
      </c>
      <c r="AW137" s="31">
        <f aca="true" t="shared" si="211" ref="AW137:AW170">F137*AO137</f>
        <v>0</v>
      </c>
      <c r="AX137" s="32" t="s">
        <v>1174</v>
      </c>
      <c r="AY137" s="32" t="s">
        <v>1207</v>
      </c>
      <c r="AZ137" s="26" t="s">
        <v>1215</v>
      </c>
      <c r="BB137" s="31">
        <f aca="true" t="shared" si="212" ref="BB137:BB170">AV137+AW137</f>
        <v>0</v>
      </c>
      <c r="BC137" s="31">
        <f aca="true" t="shared" si="213" ref="BC137:BC170">G137/(100-BD137)*100</f>
        <v>0</v>
      </c>
      <c r="BD137" s="31">
        <v>0</v>
      </c>
      <c r="BE137" s="31">
        <f aca="true" t="shared" si="214" ref="BE137:BE170">L137</f>
        <v>0.04788</v>
      </c>
      <c r="BG137" s="17">
        <f aca="true" t="shared" si="215" ref="BG137:BG170">F137*AN137</f>
        <v>0</v>
      </c>
      <c r="BH137" s="17">
        <f aca="true" t="shared" si="216" ref="BH137:BH170">F137*AO137</f>
        <v>0</v>
      </c>
      <c r="BI137" s="17">
        <f aca="true" t="shared" si="217" ref="BI137:BI170">F137*G137</f>
        <v>0</v>
      </c>
    </row>
    <row r="138" spans="1:61" ht="12.75">
      <c r="A138" s="4" t="s">
        <v>112</v>
      </c>
      <c r="B138" s="4"/>
      <c r="C138" s="4" t="s">
        <v>484</v>
      </c>
      <c r="D138" s="71" t="s">
        <v>858</v>
      </c>
      <c r="E138" s="4" t="s">
        <v>1123</v>
      </c>
      <c r="F138" s="17">
        <v>114</v>
      </c>
      <c r="G138" s="148">
        <v>0</v>
      </c>
      <c r="H138" s="17">
        <f t="shared" si="194"/>
        <v>0</v>
      </c>
      <c r="I138" s="17">
        <f t="shared" si="195"/>
        <v>0</v>
      </c>
      <c r="J138" s="17">
        <f t="shared" si="196"/>
        <v>0</v>
      </c>
      <c r="K138" s="17">
        <v>0.00046</v>
      </c>
      <c r="L138" s="17">
        <f t="shared" si="197"/>
        <v>0.05244</v>
      </c>
      <c r="Y138" s="31">
        <f t="shared" si="198"/>
        <v>0</v>
      </c>
      <c r="AA138" s="31">
        <f t="shared" si="199"/>
        <v>0</v>
      </c>
      <c r="AB138" s="31">
        <f t="shared" si="200"/>
        <v>0</v>
      </c>
      <c r="AC138" s="31">
        <f t="shared" si="201"/>
        <v>0</v>
      </c>
      <c r="AD138" s="31">
        <f t="shared" si="202"/>
        <v>0</v>
      </c>
      <c r="AE138" s="31">
        <f t="shared" si="203"/>
        <v>0</v>
      </c>
      <c r="AF138" s="31">
        <f t="shared" si="204"/>
        <v>0</v>
      </c>
      <c r="AG138" s="31">
        <f t="shared" si="205"/>
        <v>0</v>
      </c>
      <c r="AH138" s="26"/>
      <c r="AI138" s="17">
        <f t="shared" si="206"/>
        <v>0</v>
      </c>
      <c r="AJ138" s="17">
        <f t="shared" si="207"/>
        <v>0</v>
      </c>
      <c r="AK138" s="17">
        <f t="shared" si="208"/>
        <v>0</v>
      </c>
      <c r="AM138" s="31">
        <v>21</v>
      </c>
      <c r="AN138" s="31">
        <f>G138*0.209220338983051</f>
        <v>0</v>
      </c>
      <c r="AO138" s="31">
        <f>G138*(1-0.209220338983051)</f>
        <v>0</v>
      </c>
      <c r="AP138" s="27" t="s">
        <v>13</v>
      </c>
      <c r="AU138" s="31">
        <f t="shared" si="209"/>
        <v>0</v>
      </c>
      <c r="AV138" s="31">
        <f t="shared" si="210"/>
        <v>0</v>
      </c>
      <c r="AW138" s="31">
        <f t="shared" si="211"/>
        <v>0</v>
      </c>
      <c r="AX138" s="32" t="s">
        <v>1174</v>
      </c>
      <c r="AY138" s="32" t="s">
        <v>1207</v>
      </c>
      <c r="AZ138" s="26" t="s">
        <v>1215</v>
      </c>
      <c r="BB138" s="31">
        <f t="shared" si="212"/>
        <v>0</v>
      </c>
      <c r="BC138" s="31">
        <f t="shared" si="213"/>
        <v>0</v>
      </c>
      <c r="BD138" s="31">
        <v>0</v>
      </c>
      <c r="BE138" s="31">
        <f t="shared" si="214"/>
        <v>0.05244</v>
      </c>
      <c r="BG138" s="17">
        <f t="shared" si="215"/>
        <v>0</v>
      </c>
      <c r="BH138" s="17">
        <f t="shared" si="216"/>
        <v>0</v>
      </c>
      <c r="BI138" s="17">
        <f t="shared" si="217"/>
        <v>0</v>
      </c>
    </row>
    <row r="139" spans="1:61" ht="12.75">
      <c r="A139" s="4" t="s">
        <v>113</v>
      </c>
      <c r="B139" s="4"/>
      <c r="C139" s="4" t="s">
        <v>485</v>
      </c>
      <c r="D139" s="71" t="s">
        <v>859</v>
      </c>
      <c r="E139" s="4" t="s">
        <v>1123</v>
      </c>
      <c r="F139" s="17">
        <v>22</v>
      </c>
      <c r="G139" s="148">
        <v>0</v>
      </c>
      <c r="H139" s="17">
        <f t="shared" si="194"/>
        <v>0</v>
      </c>
      <c r="I139" s="17">
        <f t="shared" si="195"/>
        <v>0</v>
      </c>
      <c r="J139" s="17">
        <f t="shared" si="196"/>
        <v>0</v>
      </c>
      <c r="K139" s="17">
        <v>0.00058</v>
      </c>
      <c r="L139" s="17">
        <f t="shared" si="197"/>
        <v>0.01276</v>
      </c>
      <c r="Y139" s="31">
        <f t="shared" si="198"/>
        <v>0</v>
      </c>
      <c r="AA139" s="31">
        <f t="shared" si="199"/>
        <v>0</v>
      </c>
      <c r="AB139" s="31">
        <f t="shared" si="200"/>
        <v>0</v>
      </c>
      <c r="AC139" s="31">
        <f t="shared" si="201"/>
        <v>0</v>
      </c>
      <c r="AD139" s="31">
        <f t="shared" si="202"/>
        <v>0</v>
      </c>
      <c r="AE139" s="31">
        <f t="shared" si="203"/>
        <v>0</v>
      </c>
      <c r="AF139" s="31">
        <f t="shared" si="204"/>
        <v>0</v>
      </c>
      <c r="AG139" s="31">
        <f t="shared" si="205"/>
        <v>0</v>
      </c>
      <c r="AH139" s="26"/>
      <c r="AI139" s="17">
        <f t="shared" si="206"/>
        <v>0</v>
      </c>
      <c r="AJ139" s="17">
        <f t="shared" si="207"/>
        <v>0</v>
      </c>
      <c r="AK139" s="17">
        <f t="shared" si="208"/>
        <v>0</v>
      </c>
      <c r="AM139" s="31">
        <v>21</v>
      </c>
      <c r="AN139" s="31">
        <f>G139*0.249769335142469</f>
        <v>0</v>
      </c>
      <c r="AO139" s="31">
        <f>G139*(1-0.249769335142469)</f>
        <v>0</v>
      </c>
      <c r="AP139" s="27" t="s">
        <v>13</v>
      </c>
      <c r="AU139" s="31">
        <f t="shared" si="209"/>
        <v>0</v>
      </c>
      <c r="AV139" s="31">
        <f t="shared" si="210"/>
        <v>0</v>
      </c>
      <c r="AW139" s="31">
        <f t="shared" si="211"/>
        <v>0</v>
      </c>
      <c r="AX139" s="32" t="s">
        <v>1174</v>
      </c>
      <c r="AY139" s="32" t="s">
        <v>1207</v>
      </c>
      <c r="AZ139" s="26" t="s">
        <v>1215</v>
      </c>
      <c r="BB139" s="31">
        <f t="shared" si="212"/>
        <v>0</v>
      </c>
      <c r="BC139" s="31">
        <f t="shared" si="213"/>
        <v>0</v>
      </c>
      <c r="BD139" s="31">
        <v>0</v>
      </c>
      <c r="BE139" s="31">
        <f t="shared" si="214"/>
        <v>0.01276</v>
      </c>
      <c r="BG139" s="17">
        <f t="shared" si="215"/>
        <v>0</v>
      </c>
      <c r="BH139" s="17">
        <f t="shared" si="216"/>
        <v>0</v>
      </c>
      <c r="BI139" s="17">
        <f t="shared" si="217"/>
        <v>0</v>
      </c>
    </row>
    <row r="140" spans="1:61" ht="12.75">
      <c r="A140" s="4" t="s">
        <v>114</v>
      </c>
      <c r="B140" s="4"/>
      <c r="C140" s="4" t="s">
        <v>486</v>
      </c>
      <c r="D140" s="71" t="s">
        <v>860</v>
      </c>
      <c r="E140" s="4" t="s">
        <v>1123</v>
      </c>
      <c r="F140" s="17">
        <v>32</v>
      </c>
      <c r="G140" s="148">
        <v>0</v>
      </c>
      <c r="H140" s="17">
        <f t="shared" si="194"/>
        <v>0</v>
      </c>
      <c r="I140" s="17">
        <f t="shared" si="195"/>
        <v>0</v>
      </c>
      <c r="J140" s="17">
        <f t="shared" si="196"/>
        <v>0</v>
      </c>
      <c r="K140" s="17">
        <v>0.00074</v>
      </c>
      <c r="L140" s="17">
        <f t="shared" si="197"/>
        <v>0.02368</v>
      </c>
      <c r="Y140" s="31">
        <f t="shared" si="198"/>
        <v>0</v>
      </c>
      <c r="AA140" s="31">
        <f t="shared" si="199"/>
        <v>0</v>
      </c>
      <c r="AB140" s="31">
        <f t="shared" si="200"/>
        <v>0</v>
      </c>
      <c r="AC140" s="31">
        <f t="shared" si="201"/>
        <v>0</v>
      </c>
      <c r="AD140" s="31">
        <f t="shared" si="202"/>
        <v>0</v>
      </c>
      <c r="AE140" s="31">
        <f t="shared" si="203"/>
        <v>0</v>
      </c>
      <c r="AF140" s="31">
        <f t="shared" si="204"/>
        <v>0</v>
      </c>
      <c r="AG140" s="31">
        <f t="shared" si="205"/>
        <v>0</v>
      </c>
      <c r="AH140" s="26"/>
      <c r="AI140" s="17">
        <f t="shared" si="206"/>
        <v>0</v>
      </c>
      <c r="AJ140" s="17">
        <f t="shared" si="207"/>
        <v>0</v>
      </c>
      <c r="AK140" s="17">
        <f t="shared" si="208"/>
        <v>0</v>
      </c>
      <c r="AM140" s="31">
        <v>21</v>
      </c>
      <c r="AN140" s="31">
        <f>G140*0.306935123042506</f>
        <v>0</v>
      </c>
      <c r="AO140" s="31">
        <f>G140*(1-0.306935123042506)</f>
        <v>0</v>
      </c>
      <c r="AP140" s="27" t="s">
        <v>13</v>
      </c>
      <c r="AU140" s="31">
        <f t="shared" si="209"/>
        <v>0</v>
      </c>
      <c r="AV140" s="31">
        <f t="shared" si="210"/>
        <v>0</v>
      </c>
      <c r="AW140" s="31">
        <f t="shared" si="211"/>
        <v>0</v>
      </c>
      <c r="AX140" s="32" t="s">
        <v>1174</v>
      </c>
      <c r="AY140" s="32" t="s">
        <v>1207</v>
      </c>
      <c r="AZ140" s="26" t="s">
        <v>1215</v>
      </c>
      <c r="BB140" s="31">
        <f t="shared" si="212"/>
        <v>0</v>
      </c>
      <c r="BC140" s="31">
        <f t="shared" si="213"/>
        <v>0</v>
      </c>
      <c r="BD140" s="31">
        <v>0</v>
      </c>
      <c r="BE140" s="31">
        <f t="shared" si="214"/>
        <v>0.02368</v>
      </c>
      <c r="BG140" s="17">
        <f t="shared" si="215"/>
        <v>0</v>
      </c>
      <c r="BH140" s="17">
        <f t="shared" si="216"/>
        <v>0</v>
      </c>
      <c r="BI140" s="17">
        <f t="shared" si="217"/>
        <v>0</v>
      </c>
    </row>
    <row r="141" spans="1:61" ht="12.75">
      <c r="A141" s="4" t="s">
        <v>115</v>
      </c>
      <c r="B141" s="4"/>
      <c r="C141" s="4" t="s">
        <v>487</v>
      </c>
      <c r="D141" s="71" t="s">
        <v>861</v>
      </c>
      <c r="E141" s="4" t="s">
        <v>1123</v>
      </c>
      <c r="F141" s="17">
        <v>54</v>
      </c>
      <c r="G141" s="148">
        <v>0</v>
      </c>
      <c r="H141" s="17">
        <f t="shared" si="194"/>
        <v>0</v>
      </c>
      <c r="I141" s="17">
        <f t="shared" si="195"/>
        <v>0</v>
      </c>
      <c r="J141" s="17">
        <f t="shared" si="196"/>
        <v>0</v>
      </c>
      <c r="K141" s="17">
        <v>3E-05</v>
      </c>
      <c r="L141" s="17">
        <f t="shared" si="197"/>
        <v>0.0016200000000000001</v>
      </c>
      <c r="Y141" s="31">
        <f t="shared" si="198"/>
        <v>0</v>
      </c>
      <c r="AA141" s="31">
        <f t="shared" si="199"/>
        <v>0</v>
      </c>
      <c r="AB141" s="31">
        <f t="shared" si="200"/>
        <v>0</v>
      </c>
      <c r="AC141" s="31">
        <f t="shared" si="201"/>
        <v>0</v>
      </c>
      <c r="AD141" s="31">
        <f t="shared" si="202"/>
        <v>0</v>
      </c>
      <c r="AE141" s="31">
        <f t="shared" si="203"/>
        <v>0</v>
      </c>
      <c r="AF141" s="31">
        <f t="shared" si="204"/>
        <v>0</v>
      </c>
      <c r="AG141" s="31">
        <f t="shared" si="205"/>
        <v>0</v>
      </c>
      <c r="AH141" s="26"/>
      <c r="AI141" s="17">
        <f t="shared" si="206"/>
        <v>0</v>
      </c>
      <c r="AJ141" s="17">
        <f t="shared" si="207"/>
        <v>0</v>
      </c>
      <c r="AK141" s="17">
        <f t="shared" si="208"/>
        <v>0</v>
      </c>
      <c r="AM141" s="31">
        <v>21</v>
      </c>
      <c r="AN141" s="31">
        <f>G141*0.285496183206107</f>
        <v>0</v>
      </c>
      <c r="AO141" s="31">
        <f>G141*(1-0.285496183206107)</f>
        <v>0</v>
      </c>
      <c r="AP141" s="27" t="s">
        <v>13</v>
      </c>
      <c r="AU141" s="31">
        <f t="shared" si="209"/>
        <v>0</v>
      </c>
      <c r="AV141" s="31">
        <f t="shared" si="210"/>
        <v>0</v>
      </c>
      <c r="AW141" s="31">
        <f t="shared" si="211"/>
        <v>0</v>
      </c>
      <c r="AX141" s="32" t="s">
        <v>1174</v>
      </c>
      <c r="AY141" s="32" t="s">
        <v>1207</v>
      </c>
      <c r="AZ141" s="26" t="s">
        <v>1215</v>
      </c>
      <c r="BB141" s="31">
        <f t="shared" si="212"/>
        <v>0</v>
      </c>
      <c r="BC141" s="31">
        <f t="shared" si="213"/>
        <v>0</v>
      </c>
      <c r="BD141" s="31">
        <v>0</v>
      </c>
      <c r="BE141" s="31">
        <f t="shared" si="214"/>
        <v>0.0016200000000000001</v>
      </c>
      <c r="BG141" s="17">
        <f t="shared" si="215"/>
        <v>0</v>
      </c>
      <c r="BH141" s="17">
        <f t="shared" si="216"/>
        <v>0</v>
      </c>
      <c r="BI141" s="17">
        <f t="shared" si="217"/>
        <v>0</v>
      </c>
    </row>
    <row r="142" spans="1:61" ht="12.75">
      <c r="A142" s="4" t="s">
        <v>116</v>
      </c>
      <c r="B142" s="4"/>
      <c r="C142" s="4" t="s">
        <v>488</v>
      </c>
      <c r="D142" s="71" t="s">
        <v>862</v>
      </c>
      <c r="E142" s="4" t="s">
        <v>1123</v>
      </c>
      <c r="F142" s="17">
        <v>11</v>
      </c>
      <c r="G142" s="148">
        <v>0</v>
      </c>
      <c r="H142" s="17">
        <f t="shared" si="194"/>
        <v>0</v>
      </c>
      <c r="I142" s="17">
        <f t="shared" si="195"/>
        <v>0</v>
      </c>
      <c r="J142" s="17">
        <f t="shared" si="196"/>
        <v>0</v>
      </c>
      <c r="K142" s="17">
        <v>6E-05</v>
      </c>
      <c r="L142" s="17">
        <f t="shared" si="197"/>
        <v>0.00066</v>
      </c>
      <c r="Y142" s="31">
        <f t="shared" si="198"/>
        <v>0</v>
      </c>
      <c r="AA142" s="31">
        <f t="shared" si="199"/>
        <v>0</v>
      </c>
      <c r="AB142" s="31">
        <f t="shared" si="200"/>
        <v>0</v>
      </c>
      <c r="AC142" s="31">
        <f t="shared" si="201"/>
        <v>0</v>
      </c>
      <c r="AD142" s="31">
        <f t="shared" si="202"/>
        <v>0</v>
      </c>
      <c r="AE142" s="31">
        <f t="shared" si="203"/>
        <v>0</v>
      </c>
      <c r="AF142" s="31">
        <f t="shared" si="204"/>
        <v>0</v>
      </c>
      <c r="AG142" s="31">
        <f t="shared" si="205"/>
        <v>0</v>
      </c>
      <c r="AH142" s="26"/>
      <c r="AI142" s="17">
        <f t="shared" si="206"/>
        <v>0</v>
      </c>
      <c r="AJ142" s="17">
        <f t="shared" si="207"/>
        <v>0</v>
      </c>
      <c r="AK142" s="17">
        <f t="shared" si="208"/>
        <v>0</v>
      </c>
      <c r="AM142" s="31">
        <v>21</v>
      </c>
      <c r="AN142" s="31">
        <f>G142*0.300871731008717</f>
        <v>0</v>
      </c>
      <c r="AO142" s="31">
        <f>G142*(1-0.300871731008717)</f>
        <v>0</v>
      </c>
      <c r="AP142" s="27" t="s">
        <v>13</v>
      </c>
      <c r="AU142" s="31">
        <f t="shared" si="209"/>
        <v>0</v>
      </c>
      <c r="AV142" s="31">
        <f t="shared" si="210"/>
        <v>0</v>
      </c>
      <c r="AW142" s="31">
        <f t="shared" si="211"/>
        <v>0</v>
      </c>
      <c r="AX142" s="32" t="s">
        <v>1174</v>
      </c>
      <c r="AY142" s="32" t="s">
        <v>1207</v>
      </c>
      <c r="AZ142" s="26" t="s">
        <v>1215</v>
      </c>
      <c r="BB142" s="31">
        <f t="shared" si="212"/>
        <v>0</v>
      </c>
      <c r="BC142" s="31">
        <f t="shared" si="213"/>
        <v>0</v>
      </c>
      <c r="BD142" s="31">
        <v>0</v>
      </c>
      <c r="BE142" s="31">
        <f t="shared" si="214"/>
        <v>0.00066</v>
      </c>
      <c r="BG142" s="17">
        <f t="shared" si="215"/>
        <v>0</v>
      </c>
      <c r="BH142" s="17">
        <f t="shared" si="216"/>
        <v>0</v>
      </c>
      <c r="BI142" s="17">
        <f t="shared" si="217"/>
        <v>0</v>
      </c>
    </row>
    <row r="143" spans="1:61" ht="12.75">
      <c r="A143" s="4" t="s">
        <v>117</v>
      </c>
      <c r="B143" s="4"/>
      <c r="C143" s="4" t="s">
        <v>489</v>
      </c>
      <c r="D143" s="71" t="s">
        <v>863</v>
      </c>
      <c r="E143" s="4" t="s">
        <v>1123</v>
      </c>
      <c r="F143" s="17">
        <v>23</v>
      </c>
      <c r="G143" s="148">
        <v>0</v>
      </c>
      <c r="H143" s="17">
        <f t="shared" si="194"/>
        <v>0</v>
      </c>
      <c r="I143" s="17">
        <f t="shared" si="195"/>
        <v>0</v>
      </c>
      <c r="J143" s="17">
        <f t="shared" si="196"/>
        <v>0</v>
      </c>
      <c r="K143" s="17">
        <v>6E-05</v>
      </c>
      <c r="L143" s="17">
        <f t="shared" si="197"/>
        <v>0.00138</v>
      </c>
      <c r="Y143" s="31">
        <f t="shared" si="198"/>
        <v>0</v>
      </c>
      <c r="AA143" s="31">
        <f t="shared" si="199"/>
        <v>0</v>
      </c>
      <c r="AB143" s="31">
        <f t="shared" si="200"/>
        <v>0</v>
      </c>
      <c r="AC143" s="31">
        <f t="shared" si="201"/>
        <v>0</v>
      </c>
      <c r="AD143" s="31">
        <f t="shared" si="202"/>
        <v>0</v>
      </c>
      <c r="AE143" s="31">
        <f t="shared" si="203"/>
        <v>0</v>
      </c>
      <c r="AF143" s="31">
        <f t="shared" si="204"/>
        <v>0</v>
      </c>
      <c r="AG143" s="31">
        <f t="shared" si="205"/>
        <v>0</v>
      </c>
      <c r="AH143" s="26"/>
      <c r="AI143" s="17">
        <f t="shared" si="206"/>
        <v>0</v>
      </c>
      <c r="AJ143" s="17">
        <f t="shared" si="207"/>
        <v>0</v>
      </c>
      <c r="AK143" s="17">
        <f t="shared" si="208"/>
        <v>0</v>
      </c>
      <c r="AM143" s="31">
        <v>21</v>
      </c>
      <c r="AN143" s="31">
        <f>G143*0.300871731008717</f>
        <v>0</v>
      </c>
      <c r="AO143" s="31">
        <f>G143*(1-0.300871731008717)</f>
        <v>0</v>
      </c>
      <c r="AP143" s="27" t="s">
        <v>13</v>
      </c>
      <c r="AU143" s="31">
        <f t="shared" si="209"/>
        <v>0</v>
      </c>
      <c r="AV143" s="31">
        <f t="shared" si="210"/>
        <v>0</v>
      </c>
      <c r="AW143" s="31">
        <f t="shared" si="211"/>
        <v>0</v>
      </c>
      <c r="AX143" s="32" t="s">
        <v>1174</v>
      </c>
      <c r="AY143" s="32" t="s">
        <v>1207</v>
      </c>
      <c r="AZ143" s="26" t="s">
        <v>1215</v>
      </c>
      <c r="BB143" s="31">
        <f t="shared" si="212"/>
        <v>0</v>
      </c>
      <c r="BC143" s="31">
        <f t="shared" si="213"/>
        <v>0</v>
      </c>
      <c r="BD143" s="31">
        <v>0</v>
      </c>
      <c r="BE143" s="31">
        <f t="shared" si="214"/>
        <v>0.00138</v>
      </c>
      <c r="BG143" s="17">
        <f t="shared" si="215"/>
        <v>0</v>
      </c>
      <c r="BH143" s="17">
        <f t="shared" si="216"/>
        <v>0</v>
      </c>
      <c r="BI143" s="17">
        <f t="shared" si="217"/>
        <v>0</v>
      </c>
    </row>
    <row r="144" spans="1:61" ht="12.75">
      <c r="A144" s="4" t="s">
        <v>118</v>
      </c>
      <c r="B144" s="4"/>
      <c r="C144" s="4" t="s">
        <v>490</v>
      </c>
      <c r="D144" s="71" t="s">
        <v>864</v>
      </c>
      <c r="E144" s="4" t="s">
        <v>1123</v>
      </c>
      <c r="F144" s="17">
        <v>60</v>
      </c>
      <c r="G144" s="148">
        <v>0</v>
      </c>
      <c r="H144" s="17">
        <f t="shared" si="194"/>
        <v>0</v>
      </c>
      <c r="I144" s="17">
        <f t="shared" si="195"/>
        <v>0</v>
      </c>
      <c r="J144" s="17">
        <f t="shared" si="196"/>
        <v>0</v>
      </c>
      <c r="K144" s="17">
        <v>6E-05</v>
      </c>
      <c r="L144" s="17">
        <f t="shared" si="197"/>
        <v>0.0036</v>
      </c>
      <c r="Y144" s="31">
        <f t="shared" si="198"/>
        <v>0</v>
      </c>
      <c r="AA144" s="31">
        <f t="shared" si="199"/>
        <v>0</v>
      </c>
      <c r="AB144" s="31">
        <f t="shared" si="200"/>
        <v>0</v>
      </c>
      <c r="AC144" s="31">
        <f t="shared" si="201"/>
        <v>0</v>
      </c>
      <c r="AD144" s="31">
        <f t="shared" si="202"/>
        <v>0</v>
      </c>
      <c r="AE144" s="31">
        <f t="shared" si="203"/>
        <v>0</v>
      </c>
      <c r="AF144" s="31">
        <f t="shared" si="204"/>
        <v>0</v>
      </c>
      <c r="AG144" s="31">
        <f t="shared" si="205"/>
        <v>0</v>
      </c>
      <c r="AH144" s="26"/>
      <c r="AI144" s="17">
        <f t="shared" si="206"/>
        <v>0</v>
      </c>
      <c r="AJ144" s="17">
        <f t="shared" si="207"/>
        <v>0</v>
      </c>
      <c r="AK144" s="17">
        <f t="shared" si="208"/>
        <v>0</v>
      </c>
      <c r="AM144" s="31">
        <v>21</v>
      </c>
      <c r="AN144" s="31">
        <f>G144*0.536115702479339</f>
        <v>0</v>
      </c>
      <c r="AO144" s="31">
        <f>G144*(1-0.536115702479339)</f>
        <v>0</v>
      </c>
      <c r="AP144" s="27" t="s">
        <v>13</v>
      </c>
      <c r="AU144" s="31">
        <f t="shared" si="209"/>
        <v>0</v>
      </c>
      <c r="AV144" s="31">
        <f t="shared" si="210"/>
        <v>0</v>
      </c>
      <c r="AW144" s="31">
        <f t="shared" si="211"/>
        <v>0</v>
      </c>
      <c r="AX144" s="32" t="s">
        <v>1174</v>
      </c>
      <c r="AY144" s="32" t="s">
        <v>1207</v>
      </c>
      <c r="AZ144" s="26" t="s">
        <v>1215</v>
      </c>
      <c r="BB144" s="31">
        <f t="shared" si="212"/>
        <v>0</v>
      </c>
      <c r="BC144" s="31">
        <f t="shared" si="213"/>
        <v>0</v>
      </c>
      <c r="BD144" s="31">
        <v>0</v>
      </c>
      <c r="BE144" s="31">
        <f t="shared" si="214"/>
        <v>0.0036</v>
      </c>
      <c r="BG144" s="17">
        <f t="shared" si="215"/>
        <v>0</v>
      </c>
      <c r="BH144" s="17">
        <f t="shared" si="216"/>
        <v>0</v>
      </c>
      <c r="BI144" s="17">
        <f t="shared" si="217"/>
        <v>0</v>
      </c>
    </row>
    <row r="145" spans="1:61" ht="12.75">
      <c r="A145" s="4" t="s">
        <v>119</v>
      </c>
      <c r="B145" s="4"/>
      <c r="C145" s="4" t="s">
        <v>491</v>
      </c>
      <c r="D145" s="71" t="s">
        <v>865</v>
      </c>
      <c r="E145" s="4" t="s">
        <v>1123</v>
      </c>
      <c r="F145" s="17">
        <v>11</v>
      </c>
      <c r="G145" s="148">
        <v>0</v>
      </c>
      <c r="H145" s="17">
        <f t="shared" si="194"/>
        <v>0</v>
      </c>
      <c r="I145" s="17">
        <f t="shared" si="195"/>
        <v>0</v>
      </c>
      <c r="J145" s="17">
        <f t="shared" si="196"/>
        <v>0</v>
      </c>
      <c r="K145" s="17">
        <v>7E-05</v>
      </c>
      <c r="L145" s="17">
        <f t="shared" si="197"/>
        <v>0.00077</v>
      </c>
      <c r="Y145" s="31">
        <f t="shared" si="198"/>
        <v>0</v>
      </c>
      <c r="AA145" s="31">
        <f t="shared" si="199"/>
        <v>0</v>
      </c>
      <c r="AB145" s="31">
        <f t="shared" si="200"/>
        <v>0</v>
      </c>
      <c r="AC145" s="31">
        <f t="shared" si="201"/>
        <v>0</v>
      </c>
      <c r="AD145" s="31">
        <f t="shared" si="202"/>
        <v>0</v>
      </c>
      <c r="AE145" s="31">
        <f t="shared" si="203"/>
        <v>0</v>
      </c>
      <c r="AF145" s="31">
        <f t="shared" si="204"/>
        <v>0</v>
      </c>
      <c r="AG145" s="31">
        <f t="shared" si="205"/>
        <v>0</v>
      </c>
      <c r="AH145" s="26"/>
      <c r="AI145" s="17">
        <f t="shared" si="206"/>
        <v>0</v>
      </c>
      <c r="AJ145" s="17">
        <f t="shared" si="207"/>
        <v>0</v>
      </c>
      <c r="AK145" s="17">
        <f t="shared" si="208"/>
        <v>0</v>
      </c>
      <c r="AM145" s="31">
        <v>21</v>
      </c>
      <c r="AN145" s="31">
        <f>G145*0.563190661478599</f>
        <v>0</v>
      </c>
      <c r="AO145" s="31">
        <f>G145*(1-0.563190661478599)</f>
        <v>0</v>
      </c>
      <c r="AP145" s="27" t="s">
        <v>13</v>
      </c>
      <c r="AU145" s="31">
        <f t="shared" si="209"/>
        <v>0</v>
      </c>
      <c r="AV145" s="31">
        <f t="shared" si="210"/>
        <v>0</v>
      </c>
      <c r="AW145" s="31">
        <f t="shared" si="211"/>
        <v>0</v>
      </c>
      <c r="AX145" s="32" t="s">
        <v>1174</v>
      </c>
      <c r="AY145" s="32" t="s">
        <v>1207</v>
      </c>
      <c r="AZ145" s="26" t="s">
        <v>1215</v>
      </c>
      <c r="BB145" s="31">
        <f t="shared" si="212"/>
        <v>0</v>
      </c>
      <c r="BC145" s="31">
        <f t="shared" si="213"/>
        <v>0</v>
      </c>
      <c r="BD145" s="31">
        <v>0</v>
      </c>
      <c r="BE145" s="31">
        <f t="shared" si="214"/>
        <v>0.00077</v>
      </c>
      <c r="BG145" s="17">
        <f t="shared" si="215"/>
        <v>0</v>
      </c>
      <c r="BH145" s="17">
        <f t="shared" si="216"/>
        <v>0</v>
      </c>
      <c r="BI145" s="17">
        <f t="shared" si="217"/>
        <v>0</v>
      </c>
    </row>
    <row r="146" spans="1:61" ht="12.75">
      <c r="A146" s="4" t="s">
        <v>120</v>
      </c>
      <c r="B146" s="4"/>
      <c r="C146" s="4" t="s">
        <v>492</v>
      </c>
      <c r="D146" s="71" t="s">
        <v>866</v>
      </c>
      <c r="E146" s="4" t="s">
        <v>1123</v>
      </c>
      <c r="F146" s="17">
        <v>24</v>
      </c>
      <c r="G146" s="148">
        <v>0</v>
      </c>
      <c r="H146" s="17">
        <f t="shared" si="194"/>
        <v>0</v>
      </c>
      <c r="I146" s="17">
        <f t="shared" si="195"/>
        <v>0</v>
      </c>
      <c r="J146" s="17">
        <f t="shared" si="196"/>
        <v>0</v>
      </c>
      <c r="K146" s="17">
        <v>8E-05</v>
      </c>
      <c r="L146" s="17">
        <f t="shared" si="197"/>
        <v>0.0019200000000000003</v>
      </c>
      <c r="Y146" s="31">
        <f t="shared" si="198"/>
        <v>0</v>
      </c>
      <c r="AA146" s="31">
        <f t="shared" si="199"/>
        <v>0</v>
      </c>
      <c r="AB146" s="31">
        <f t="shared" si="200"/>
        <v>0</v>
      </c>
      <c r="AC146" s="31">
        <f t="shared" si="201"/>
        <v>0</v>
      </c>
      <c r="AD146" s="31">
        <f t="shared" si="202"/>
        <v>0</v>
      </c>
      <c r="AE146" s="31">
        <f t="shared" si="203"/>
        <v>0</v>
      </c>
      <c r="AF146" s="31">
        <f t="shared" si="204"/>
        <v>0</v>
      </c>
      <c r="AG146" s="31">
        <f t="shared" si="205"/>
        <v>0</v>
      </c>
      <c r="AH146" s="26"/>
      <c r="AI146" s="17">
        <f t="shared" si="206"/>
        <v>0</v>
      </c>
      <c r="AJ146" s="17">
        <f t="shared" si="207"/>
        <v>0</v>
      </c>
      <c r="AK146" s="17">
        <f t="shared" si="208"/>
        <v>0</v>
      </c>
      <c r="AM146" s="31">
        <v>21</v>
      </c>
      <c r="AN146" s="31">
        <f>G146*0.567902097902098</f>
        <v>0</v>
      </c>
      <c r="AO146" s="31">
        <f>G146*(1-0.567902097902098)</f>
        <v>0</v>
      </c>
      <c r="AP146" s="27" t="s">
        <v>13</v>
      </c>
      <c r="AU146" s="31">
        <f t="shared" si="209"/>
        <v>0</v>
      </c>
      <c r="AV146" s="31">
        <f t="shared" si="210"/>
        <v>0</v>
      </c>
      <c r="AW146" s="31">
        <f t="shared" si="211"/>
        <v>0</v>
      </c>
      <c r="AX146" s="32" t="s">
        <v>1174</v>
      </c>
      <c r="AY146" s="32" t="s">
        <v>1207</v>
      </c>
      <c r="AZ146" s="26" t="s">
        <v>1215</v>
      </c>
      <c r="BB146" s="31">
        <f t="shared" si="212"/>
        <v>0</v>
      </c>
      <c r="BC146" s="31">
        <f t="shared" si="213"/>
        <v>0</v>
      </c>
      <c r="BD146" s="31">
        <v>0</v>
      </c>
      <c r="BE146" s="31">
        <f t="shared" si="214"/>
        <v>0.0019200000000000003</v>
      </c>
      <c r="BG146" s="17">
        <f t="shared" si="215"/>
        <v>0</v>
      </c>
      <c r="BH146" s="17">
        <f t="shared" si="216"/>
        <v>0</v>
      </c>
      <c r="BI146" s="17">
        <f t="shared" si="217"/>
        <v>0</v>
      </c>
    </row>
    <row r="147" spans="1:61" ht="12.75">
      <c r="A147" s="4" t="s">
        <v>121</v>
      </c>
      <c r="B147" s="4"/>
      <c r="C147" s="4" t="s">
        <v>493</v>
      </c>
      <c r="D147" s="71" t="s">
        <v>867</v>
      </c>
      <c r="E147" s="4" t="s">
        <v>1123</v>
      </c>
      <c r="F147" s="17">
        <v>100</v>
      </c>
      <c r="G147" s="148">
        <v>0</v>
      </c>
      <c r="H147" s="17">
        <f t="shared" si="194"/>
        <v>0</v>
      </c>
      <c r="I147" s="17">
        <f t="shared" si="195"/>
        <v>0</v>
      </c>
      <c r="J147" s="17">
        <f t="shared" si="196"/>
        <v>0</v>
      </c>
      <c r="K147" s="17">
        <v>0.04357</v>
      </c>
      <c r="L147" s="17">
        <f t="shared" si="197"/>
        <v>4.356999999999999</v>
      </c>
      <c r="Y147" s="31">
        <f t="shared" si="198"/>
        <v>0</v>
      </c>
      <c r="AA147" s="31">
        <f t="shared" si="199"/>
        <v>0</v>
      </c>
      <c r="AB147" s="31">
        <f t="shared" si="200"/>
        <v>0</v>
      </c>
      <c r="AC147" s="31">
        <f t="shared" si="201"/>
        <v>0</v>
      </c>
      <c r="AD147" s="31">
        <f t="shared" si="202"/>
        <v>0</v>
      </c>
      <c r="AE147" s="31">
        <f t="shared" si="203"/>
        <v>0</v>
      </c>
      <c r="AF147" s="31">
        <f t="shared" si="204"/>
        <v>0</v>
      </c>
      <c r="AG147" s="31">
        <f t="shared" si="205"/>
        <v>0</v>
      </c>
      <c r="AH147" s="26"/>
      <c r="AI147" s="17">
        <f t="shared" si="206"/>
        <v>0</v>
      </c>
      <c r="AJ147" s="17">
        <f t="shared" si="207"/>
        <v>0</v>
      </c>
      <c r="AK147" s="17">
        <f t="shared" si="208"/>
        <v>0</v>
      </c>
      <c r="AM147" s="31">
        <v>21</v>
      </c>
      <c r="AN147" s="31">
        <f>G147*0.0359333333333333</f>
        <v>0</v>
      </c>
      <c r="AO147" s="31">
        <f>G147*(1-0.0359333333333333)</f>
        <v>0</v>
      </c>
      <c r="AP147" s="27" t="s">
        <v>13</v>
      </c>
      <c r="AU147" s="31">
        <f t="shared" si="209"/>
        <v>0</v>
      </c>
      <c r="AV147" s="31">
        <f t="shared" si="210"/>
        <v>0</v>
      </c>
      <c r="AW147" s="31">
        <f t="shared" si="211"/>
        <v>0</v>
      </c>
      <c r="AX147" s="32" t="s">
        <v>1174</v>
      </c>
      <c r="AY147" s="32" t="s">
        <v>1207</v>
      </c>
      <c r="AZ147" s="26" t="s">
        <v>1215</v>
      </c>
      <c r="BB147" s="31">
        <f t="shared" si="212"/>
        <v>0</v>
      </c>
      <c r="BC147" s="31">
        <f t="shared" si="213"/>
        <v>0</v>
      </c>
      <c r="BD147" s="31">
        <v>0</v>
      </c>
      <c r="BE147" s="31">
        <f t="shared" si="214"/>
        <v>4.356999999999999</v>
      </c>
      <c r="BG147" s="17">
        <f t="shared" si="215"/>
        <v>0</v>
      </c>
      <c r="BH147" s="17">
        <f t="shared" si="216"/>
        <v>0</v>
      </c>
      <c r="BI147" s="17">
        <f t="shared" si="217"/>
        <v>0</v>
      </c>
    </row>
    <row r="148" spans="1:61" ht="12.75">
      <c r="A148" s="4" t="s">
        <v>122</v>
      </c>
      <c r="B148" s="4"/>
      <c r="C148" s="4" t="s">
        <v>494</v>
      </c>
      <c r="D148" s="71" t="s">
        <v>868</v>
      </c>
      <c r="E148" s="4" t="s">
        <v>1120</v>
      </c>
      <c r="F148" s="17">
        <v>34</v>
      </c>
      <c r="G148" s="148">
        <v>0</v>
      </c>
      <c r="H148" s="17">
        <f t="shared" si="194"/>
        <v>0</v>
      </c>
      <c r="I148" s="17">
        <f t="shared" si="195"/>
        <v>0</v>
      </c>
      <c r="J148" s="17">
        <f t="shared" si="196"/>
        <v>0</v>
      </c>
      <c r="K148" s="17">
        <v>0.00018</v>
      </c>
      <c r="L148" s="17">
        <f t="shared" si="197"/>
        <v>0.0061200000000000004</v>
      </c>
      <c r="Y148" s="31">
        <f t="shared" si="198"/>
        <v>0</v>
      </c>
      <c r="AA148" s="31">
        <f t="shared" si="199"/>
        <v>0</v>
      </c>
      <c r="AB148" s="31">
        <f t="shared" si="200"/>
        <v>0</v>
      </c>
      <c r="AC148" s="31">
        <f t="shared" si="201"/>
        <v>0</v>
      </c>
      <c r="AD148" s="31">
        <f t="shared" si="202"/>
        <v>0</v>
      </c>
      <c r="AE148" s="31">
        <f t="shared" si="203"/>
        <v>0</v>
      </c>
      <c r="AF148" s="31">
        <f t="shared" si="204"/>
        <v>0</v>
      </c>
      <c r="AG148" s="31">
        <f t="shared" si="205"/>
        <v>0</v>
      </c>
      <c r="AH148" s="26"/>
      <c r="AI148" s="17">
        <f t="shared" si="206"/>
        <v>0</v>
      </c>
      <c r="AJ148" s="17">
        <f t="shared" si="207"/>
        <v>0</v>
      </c>
      <c r="AK148" s="17">
        <f t="shared" si="208"/>
        <v>0</v>
      </c>
      <c r="AM148" s="31">
        <v>21</v>
      </c>
      <c r="AN148" s="31">
        <f>G148*0.358181818181818</f>
        <v>0</v>
      </c>
      <c r="AO148" s="31">
        <f>G148*(1-0.358181818181818)</f>
        <v>0</v>
      </c>
      <c r="AP148" s="27" t="s">
        <v>13</v>
      </c>
      <c r="AU148" s="31">
        <f t="shared" si="209"/>
        <v>0</v>
      </c>
      <c r="AV148" s="31">
        <f t="shared" si="210"/>
        <v>0</v>
      </c>
      <c r="AW148" s="31">
        <f t="shared" si="211"/>
        <v>0</v>
      </c>
      <c r="AX148" s="32" t="s">
        <v>1174</v>
      </c>
      <c r="AY148" s="32" t="s">
        <v>1207</v>
      </c>
      <c r="AZ148" s="26" t="s">
        <v>1215</v>
      </c>
      <c r="BB148" s="31">
        <f t="shared" si="212"/>
        <v>0</v>
      </c>
      <c r="BC148" s="31">
        <f t="shared" si="213"/>
        <v>0</v>
      </c>
      <c r="BD148" s="31">
        <v>0</v>
      </c>
      <c r="BE148" s="31">
        <f t="shared" si="214"/>
        <v>0.0061200000000000004</v>
      </c>
      <c r="BG148" s="17">
        <f t="shared" si="215"/>
        <v>0</v>
      </c>
      <c r="BH148" s="17">
        <f t="shared" si="216"/>
        <v>0</v>
      </c>
      <c r="BI148" s="17">
        <f t="shared" si="217"/>
        <v>0</v>
      </c>
    </row>
    <row r="149" spans="1:61" ht="12.75">
      <c r="A149" s="4" t="s">
        <v>123</v>
      </c>
      <c r="B149" s="4"/>
      <c r="C149" s="4" t="s">
        <v>495</v>
      </c>
      <c r="D149" s="71" t="s">
        <v>869</v>
      </c>
      <c r="E149" s="4"/>
      <c r="F149" s="17">
        <v>1</v>
      </c>
      <c r="G149" s="148">
        <v>0</v>
      </c>
      <c r="H149" s="17">
        <f t="shared" si="194"/>
        <v>0</v>
      </c>
      <c r="I149" s="17">
        <f t="shared" si="195"/>
        <v>0</v>
      </c>
      <c r="J149" s="17">
        <f t="shared" si="196"/>
        <v>0</v>
      </c>
      <c r="K149" s="17">
        <v>0</v>
      </c>
      <c r="L149" s="17">
        <f t="shared" si="197"/>
        <v>0</v>
      </c>
      <c r="Y149" s="31">
        <f t="shared" si="198"/>
        <v>0</v>
      </c>
      <c r="AA149" s="31">
        <f t="shared" si="199"/>
        <v>0</v>
      </c>
      <c r="AB149" s="31">
        <f t="shared" si="200"/>
        <v>0</v>
      </c>
      <c r="AC149" s="31">
        <f t="shared" si="201"/>
        <v>0</v>
      </c>
      <c r="AD149" s="31">
        <f t="shared" si="202"/>
        <v>0</v>
      </c>
      <c r="AE149" s="31">
        <f t="shared" si="203"/>
        <v>0</v>
      </c>
      <c r="AF149" s="31">
        <f t="shared" si="204"/>
        <v>0</v>
      </c>
      <c r="AG149" s="31">
        <f t="shared" si="205"/>
        <v>0</v>
      </c>
      <c r="AH149" s="26"/>
      <c r="AI149" s="17">
        <f t="shared" si="206"/>
        <v>0</v>
      </c>
      <c r="AJ149" s="17">
        <f t="shared" si="207"/>
        <v>0</v>
      </c>
      <c r="AK149" s="17">
        <f t="shared" si="208"/>
        <v>0</v>
      </c>
      <c r="AM149" s="31">
        <v>21</v>
      </c>
      <c r="AN149" s="31">
        <f>G149*0.833333333333333</f>
        <v>0</v>
      </c>
      <c r="AO149" s="31">
        <f>G149*(1-0.833333333333333)</f>
        <v>0</v>
      </c>
      <c r="AP149" s="27" t="s">
        <v>13</v>
      </c>
      <c r="AU149" s="31">
        <f t="shared" si="209"/>
        <v>0</v>
      </c>
      <c r="AV149" s="31">
        <f t="shared" si="210"/>
        <v>0</v>
      </c>
      <c r="AW149" s="31">
        <f t="shared" si="211"/>
        <v>0</v>
      </c>
      <c r="AX149" s="32" t="s">
        <v>1174</v>
      </c>
      <c r="AY149" s="32" t="s">
        <v>1207</v>
      </c>
      <c r="AZ149" s="26" t="s">
        <v>1215</v>
      </c>
      <c r="BB149" s="31">
        <f t="shared" si="212"/>
        <v>0</v>
      </c>
      <c r="BC149" s="31">
        <f t="shared" si="213"/>
        <v>0</v>
      </c>
      <c r="BD149" s="31">
        <v>0</v>
      </c>
      <c r="BE149" s="31">
        <f t="shared" si="214"/>
        <v>0</v>
      </c>
      <c r="BG149" s="17">
        <f t="shared" si="215"/>
        <v>0</v>
      </c>
      <c r="BH149" s="17">
        <f t="shared" si="216"/>
        <v>0</v>
      </c>
      <c r="BI149" s="17">
        <f t="shared" si="217"/>
        <v>0</v>
      </c>
    </row>
    <row r="150" spans="1:61" ht="12.75">
      <c r="A150" s="4" t="s">
        <v>124</v>
      </c>
      <c r="B150" s="4"/>
      <c r="C150" s="4" t="s">
        <v>496</v>
      </c>
      <c r="D150" s="71" t="s">
        <v>870</v>
      </c>
      <c r="E150" s="4" t="s">
        <v>1120</v>
      </c>
      <c r="F150" s="17">
        <v>22</v>
      </c>
      <c r="G150" s="148">
        <v>0</v>
      </c>
      <c r="H150" s="17">
        <f t="shared" si="194"/>
        <v>0</v>
      </c>
      <c r="I150" s="17">
        <f t="shared" si="195"/>
        <v>0</v>
      </c>
      <c r="J150" s="17">
        <f t="shared" si="196"/>
        <v>0</v>
      </c>
      <c r="K150" s="17">
        <v>9E-05</v>
      </c>
      <c r="L150" s="17">
        <f t="shared" si="197"/>
        <v>0.00198</v>
      </c>
      <c r="Y150" s="31">
        <f t="shared" si="198"/>
        <v>0</v>
      </c>
      <c r="AA150" s="31">
        <f t="shared" si="199"/>
        <v>0</v>
      </c>
      <c r="AB150" s="31">
        <f t="shared" si="200"/>
        <v>0</v>
      </c>
      <c r="AC150" s="31">
        <f t="shared" si="201"/>
        <v>0</v>
      </c>
      <c r="AD150" s="31">
        <f t="shared" si="202"/>
        <v>0</v>
      </c>
      <c r="AE150" s="31">
        <f t="shared" si="203"/>
        <v>0</v>
      </c>
      <c r="AF150" s="31">
        <f t="shared" si="204"/>
        <v>0</v>
      </c>
      <c r="AG150" s="31">
        <f t="shared" si="205"/>
        <v>0</v>
      </c>
      <c r="AH150" s="26"/>
      <c r="AI150" s="17">
        <f t="shared" si="206"/>
        <v>0</v>
      </c>
      <c r="AJ150" s="17">
        <f t="shared" si="207"/>
        <v>0</v>
      </c>
      <c r="AK150" s="17">
        <f t="shared" si="208"/>
        <v>0</v>
      </c>
      <c r="AM150" s="31">
        <v>21</v>
      </c>
      <c r="AN150" s="31">
        <f>G150*0.754418738324472</f>
        <v>0</v>
      </c>
      <c r="AO150" s="31">
        <f>G150*(1-0.754418738324472)</f>
        <v>0</v>
      </c>
      <c r="AP150" s="27" t="s">
        <v>13</v>
      </c>
      <c r="AU150" s="31">
        <f t="shared" si="209"/>
        <v>0</v>
      </c>
      <c r="AV150" s="31">
        <f t="shared" si="210"/>
        <v>0</v>
      </c>
      <c r="AW150" s="31">
        <f t="shared" si="211"/>
        <v>0</v>
      </c>
      <c r="AX150" s="32" t="s">
        <v>1174</v>
      </c>
      <c r="AY150" s="32" t="s">
        <v>1207</v>
      </c>
      <c r="AZ150" s="26" t="s">
        <v>1215</v>
      </c>
      <c r="BB150" s="31">
        <f t="shared" si="212"/>
        <v>0</v>
      </c>
      <c r="BC150" s="31">
        <f t="shared" si="213"/>
        <v>0</v>
      </c>
      <c r="BD150" s="31">
        <v>0</v>
      </c>
      <c r="BE150" s="31">
        <f t="shared" si="214"/>
        <v>0.00198</v>
      </c>
      <c r="BG150" s="17">
        <f t="shared" si="215"/>
        <v>0</v>
      </c>
      <c r="BH150" s="17">
        <f t="shared" si="216"/>
        <v>0</v>
      </c>
      <c r="BI150" s="17">
        <f t="shared" si="217"/>
        <v>0</v>
      </c>
    </row>
    <row r="151" spans="1:61" ht="12.75">
      <c r="A151" s="4" t="s">
        <v>125</v>
      </c>
      <c r="B151" s="4"/>
      <c r="C151" s="4" t="s">
        <v>497</v>
      </c>
      <c r="D151" s="71" t="s">
        <v>871</v>
      </c>
      <c r="E151" s="4" t="s">
        <v>1120</v>
      </c>
      <c r="F151" s="17">
        <v>1</v>
      </c>
      <c r="G151" s="148">
        <v>0</v>
      </c>
      <c r="H151" s="17">
        <f t="shared" si="194"/>
        <v>0</v>
      </c>
      <c r="I151" s="17">
        <f t="shared" si="195"/>
        <v>0</v>
      </c>
      <c r="J151" s="17">
        <f t="shared" si="196"/>
        <v>0</v>
      </c>
      <c r="K151" s="17">
        <v>0.00024</v>
      </c>
      <c r="L151" s="17">
        <f t="shared" si="197"/>
        <v>0.00024</v>
      </c>
      <c r="Y151" s="31">
        <f t="shared" si="198"/>
        <v>0</v>
      </c>
      <c r="AA151" s="31">
        <f t="shared" si="199"/>
        <v>0</v>
      </c>
      <c r="AB151" s="31">
        <f t="shared" si="200"/>
        <v>0</v>
      </c>
      <c r="AC151" s="31">
        <f t="shared" si="201"/>
        <v>0</v>
      </c>
      <c r="AD151" s="31">
        <f t="shared" si="202"/>
        <v>0</v>
      </c>
      <c r="AE151" s="31">
        <f t="shared" si="203"/>
        <v>0</v>
      </c>
      <c r="AF151" s="31">
        <f t="shared" si="204"/>
        <v>0</v>
      </c>
      <c r="AG151" s="31">
        <f t="shared" si="205"/>
        <v>0</v>
      </c>
      <c r="AH151" s="26"/>
      <c r="AI151" s="17">
        <f t="shared" si="206"/>
        <v>0</v>
      </c>
      <c r="AJ151" s="17">
        <f t="shared" si="207"/>
        <v>0</v>
      </c>
      <c r="AK151" s="17">
        <f t="shared" si="208"/>
        <v>0</v>
      </c>
      <c r="AM151" s="31">
        <v>21</v>
      </c>
      <c r="AN151" s="31">
        <f>G151*0.62232044198895</f>
        <v>0</v>
      </c>
      <c r="AO151" s="31">
        <f>G151*(1-0.62232044198895)</f>
        <v>0</v>
      </c>
      <c r="AP151" s="27" t="s">
        <v>13</v>
      </c>
      <c r="AU151" s="31">
        <f t="shared" si="209"/>
        <v>0</v>
      </c>
      <c r="AV151" s="31">
        <f t="shared" si="210"/>
        <v>0</v>
      </c>
      <c r="AW151" s="31">
        <f t="shared" si="211"/>
        <v>0</v>
      </c>
      <c r="AX151" s="32" t="s">
        <v>1174</v>
      </c>
      <c r="AY151" s="32" t="s">
        <v>1207</v>
      </c>
      <c r="AZ151" s="26" t="s">
        <v>1215</v>
      </c>
      <c r="BB151" s="31">
        <f t="shared" si="212"/>
        <v>0</v>
      </c>
      <c r="BC151" s="31">
        <f t="shared" si="213"/>
        <v>0</v>
      </c>
      <c r="BD151" s="31">
        <v>0</v>
      </c>
      <c r="BE151" s="31">
        <f t="shared" si="214"/>
        <v>0.00024</v>
      </c>
      <c r="BG151" s="17">
        <f t="shared" si="215"/>
        <v>0</v>
      </c>
      <c r="BH151" s="17">
        <f t="shared" si="216"/>
        <v>0</v>
      </c>
      <c r="BI151" s="17">
        <f t="shared" si="217"/>
        <v>0</v>
      </c>
    </row>
    <row r="152" spans="1:61" ht="12.75">
      <c r="A152" s="4" t="s">
        <v>126</v>
      </c>
      <c r="B152" s="4"/>
      <c r="C152" s="4" t="s">
        <v>498</v>
      </c>
      <c r="D152" s="71" t="s">
        <v>872</v>
      </c>
      <c r="E152" s="4" t="s">
        <v>1120</v>
      </c>
      <c r="F152" s="17">
        <v>7</v>
      </c>
      <c r="G152" s="148">
        <v>0</v>
      </c>
      <c r="H152" s="17">
        <f t="shared" si="194"/>
        <v>0</v>
      </c>
      <c r="I152" s="17">
        <f t="shared" si="195"/>
        <v>0</v>
      </c>
      <c r="J152" s="17">
        <f t="shared" si="196"/>
        <v>0</v>
      </c>
      <c r="K152" s="17">
        <v>0.00034</v>
      </c>
      <c r="L152" s="17">
        <f t="shared" si="197"/>
        <v>0.00238</v>
      </c>
      <c r="Y152" s="31">
        <f t="shared" si="198"/>
        <v>0</v>
      </c>
      <c r="AA152" s="31">
        <f t="shared" si="199"/>
        <v>0</v>
      </c>
      <c r="AB152" s="31">
        <f t="shared" si="200"/>
        <v>0</v>
      </c>
      <c r="AC152" s="31">
        <f t="shared" si="201"/>
        <v>0</v>
      </c>
      <c r="AD152" s="31">
        <f t="shared" si="202"/>
        <v>0</v>
      </c>
      <c r="AE152" s="31">
        <f t="shared" si="203"/>
        <v>0</v>
      </c>
      <c r="AF152" s="31">
        <f t="shared" si="204"/>
        <v>0</v>
      </c>
      <c r="AG152" s="31">
        <f t="shared" si="205"/>
        <v>0</v>
      </c>
      <c r="AH152" s="26"/>
      <c r="AI152" s="17">
        <f t="shared" si="206"/>
        <v>0</v>
      </c>
      <c r="AJ152" s="17">
        <f t="shared" si="207"/>
        <v>0</v>
      </c>
      <c r="AK152" s="17">
        <f t="shared" si="208"/>
        <v>0</v>
      </c>
      <c r="AM152" s="31">
        <v>21</v>
      </c>
      <c r="AN152" s="31">
        <f>G152*0.700910137043624</f>
        <v>0</v>
      </c>
      <c r="AO152" s="31">
        <f>G152*(1-0.700910137043624)</f>
        <v>0</v>
      </c>
      <c r="AP152" s="27" t="s">
        <v>13</v>
      </c>
      <c r="AU152" s="31">
        <f t="shared" si="209"/>
        <v>0</v>
      </c>
      <c r="AV152" s="31">
        <f t="shared" si="210"/>
        <v>0</v>
      </c>
      <c r="AW152" s="31">
        <f t="shared" si="211"/>
        <v>0</v>
      </c>
      <c r="AX152" s="32" t="s">
        <v>1174</v>
      </c>
      <c r="AY152" s="32" t="s">
        <v>1207</v>
      </c>
      <c r="AZ152" s="26" t="s">
        <v>1215</v>
      </c>
      <c r="BB152" s="31">
        <f t="shared" si="212"/>
        <v>0</v>
      </c>
      <c r="BC152" s="31">
        <f t="shared" si="213"/>
        <v>0</v>
      </c>
      <c r="BD152" s="31">
        <v>0</v>
      </c>
      <c r="BE152" s="31">
        <f t="shared" si="214"/>
        <v>0.00238</v>
      </c>
      <c r="BG152" s="17">
        <f t="shared" si="215"/>
        <v>0</v>
      </c>
      <c r="BH152" s="17">
        <f t="shared" si="216"/>
        <v>0</v>
      </c>
      <c r="BI152" s="17">
        <f t="shared" si="217"/>
        <v>0</v>
      </c>
    </row>
    <row r="153" spans="1:61" ht="12.75">
      <c r="A153" s="4" t="s">
        <v>127</v>
      </c>
      <c r="B153" s="4"/>
      <c r="C153" s="4" t="s">
        <v>499</v>
      </c>
      <c r="D153" s="71" t="s">
        <v>873</v>
      </c>
      <c r="E153" s="4" t="s">
        <v>1120</v>
      </c>
      <c r="F153" s="17">
        <v>2</v>
      </c>
      <c r="G153" s="148">
        <v>0</v>
      </c>
      <c r="H153" s="17">
        <f t="shared" si="194"/>
        <v>0</v>
      </c>
      <c r="I153" s="17">
        <f t="shared" si="195"/>
        <v>0</v>
      </c>
      <c r="J153" s="17">
        <f t="shared" si="196"/>
        <v>0</v>
      </c>
      <c r="K153" s="17">
        <v>0.00026</v>
      </c>
      <c r="L153" s="17">
        <f t="shared" si="197"/>
        <v>0.00052</v>
      </c>
      <c r="Y153" s="31">
        <f t="shared" si="198"/>
        <v>0</v>
      </c>
      <c r="AA153" s="31">
        <f t="shared" si="199"/>
        <v>0</v>
      </c>
      <c r="AB153" s="31">
        <f t="shared" si="200"/>
        <v>0</v>
      </c>
      <c r="AC153" s="31">
        <f t="shared" si="201"/>
        <v>0</v>
      </c>
      <c r="AD153" s="31">
        <f t="shared" si="202"/>
        <v>0</v>
      </c>
      <c r="AE153" s="31">
        <f t="shared" si="203"/>
        <v>0</v>
      </c>
      <c r="AF153" s="31">
        <f t="shared" si="204"/>
        <v>0</v>
      </c>
      <c r="AG153" s="31">
        <f t="shared" si="205"/>
        <v>0</v>
      </c>
      <c r="AH153" s="26"/>
      <c r="AI153" s="17">
        <f t="shared" si="206"/>
        <v>0</v>
      </c>
      <c r="AJ153" s="17">
        <f t="shared" si="207"/>
        <v>0</v>
      </c>
      <c r="AK153" s="17">
        <f t="shared" si="208"/>
        <v>0</v>
      </c>
      <c r="AM153" s="31">
        <v>21</v>
      </c>
      <c r="AN153" s="31">
        <f>G153*0.780327686444685</f>
        <v>0</v>
      </c>
      <c r="AO153" s="31">
        <f>G153*(1-0.780327686444685)</f>
        <v>0</v>
      </c>
      <c r="AP153" s="27" t="s">
        <v>13</v>
      </c>
      <c r="AU153" s="31">
        <f t="shared" si="209"/>
        <v>0</v>
      </c>
      <c r="AV153" s="31">
        <f t="shared" si="210"/>
        <v>0</v>
      </c>
      <c r="AW153" s="31">
        <f t="shared" si="211"/>
        <v>0</v>
      </c>
      <c r="AX153" s="32" t="s">
        <v>1174</v>
      </c>
      <c r="AY153" s="32" t="s">
        <v>1207</v>
      </c>
      <c r="AZ153" s="26" t="s">
        <v>1215</v>
      </c>
      <c r="BB153" s="31">
        <f t="shared" si="212"/>
        <v>0</v>
      </c>
      <c r="BC153" s="31">
        <f t="shared" si="213"/>
        <v>0</v>
      </c>
      <c r="BD153" s="31">
        <v>0</v>
      </c>
      <c r="BE153" s="31">
        <f t="shared" si="214"/>
        <v>0.00052</v>
      </c>
      <c r="BG153" s="17">
        <f t="shared" si="215"/>
        <v>0</v>
      </c>
      <c r="BH153" s="17">
        <f t="shared" si="216"/>
        <v>0</v>
      </c>
      <c r="BI153" s="17">
        <f t="shared" si="217"/>
        <v>0</v>
      </c>
    </row>
    <row r="154" spans="1:61" ht="12.75">
      <c r="A154" s="4" t="s">
        <v>128</v>
      </c>
      <c r="B154" s="4"/>
      <c r="C154" s="4" t="s">
        <v>500</v>
      </c>
      <c r="D154" s="71" t="s">
        <v>874</v>
      </c>
      <c r="E154" s="4" t="s">
        <v>1120</v>
      </c>
      <c r="F154" s="17">
        <v>1</v>
      </c>
      <c r="G154" s="148">
        <v>0</v>
      </c>
      <c r="H154" s="17">
        <f t="shared" si="194"/>
        <v>0</v>
      </c>
      <c r="I154" s="17">
        <f t="shared" si="195"/>
        <v>0</v>
      </c>
      <c r="J154" s="17">
        <f t="shared" si="196"/>
        <v>0</v>
      </c>
      <c r="K154" s="17">
        <v>0.00039</v>
      </c>
      <c r="L154" s="17">
        <f t="shared" si="197"/>
        <v>0.00039</v>
      </c>
      <c r="Y154" s="31">
        <f t="shared" si="198"/>
        <v>0</v>
      </c>
      <c r="AA154" s="31">
        <f t="shared" si="199"/>
        <v>0</v>
      </c>
      <c r="AB154" s="31">
        <f t="shared" si="200"/>
        <v>0</v>
      </c>
      <c r="AC154" s="31">
        <f t="shared" si="201"/>
        <v>0</v>
      </c>
      <c r="AD154" s="31">
        <f t="shared" si="202"/>
        <v>0</v>
      </c>
      <c r="AE154" s="31">
        <f t="shared" si="203"/>
        <v>0</v>
      </c>
      <c r="AF154" s="31">
        <f t="shared" si="204"/>
        <v>0</v>
      </c>
      <c r="AG154" s="31">
        <f t="shared" si="205"/>
        <v>0</v>
      </c>
      <c r="AH154" s="26"/>
      <c r="AI154" s="17">
        <f t="shared" si="206"/>
        <v>0</v>
      </c>
      <c r="AJ154" s="17">
        <f t="shared" si="207"/>
        <v>0</v>
      </c>
      <c r="AK154" s="17">
        <f t="shared" si="208"/>
        <v>0</v>
      </c>
      <c r="AM154" s="31">
        <v>21</v>
      </c>
      <c r="AN154" s="31">
        <f>G154*0.787837259100642</f>
        <v>0</v>
      </c>
      <c r="AO154" s="31">
        <f>G154*(1-0.787837259100642)</f>
        <v>0</v>
      </c>
      <c r="AP154" s="27" t="s">
        <v>13</v>
      </c>
      <c r="AU154" s="31">
        <f t="shared" si="209"/>
        <v>0</v>
      </c>
      <c r="AV154" s="31">
        <f t="shared" si="210"/>
        <v>0</v>
      </c>
      <c r="AW154" s="31">
        <f t="shared" si="211"/>
        <v>0</v>
      </c>
      <c r="AX154" s="32" t="s">
        <v>1174</v>
      </c>
      <c r="AY154" s="32" t="s">
        <v>1207</v>
      </c>
      <c r="AZ154" s="26" t="s">
        <v>1215</v>
      </c>
      <c r="BB154" s="31">
        <f t="shared" si="212"/>
        <v>0</v>
      </c>
      <c r="BC154" s="31">
        <f t="shared" si="213"/>
        <v>0</v>
      </c>
      <c r="BD154" s="31">
        <v>0</v>
      </c>
      <c r="BE154" s="31">
        <f t="shared" si="214"/>
        <v>0.00039</v>
      </c>
      <c r="BG154" s="17">
        <f t="shared" si="215"/>
        <v>0</v>
      </c>
      <c r="BH154" s="17">
        <f t="shared" si="216"/>
        <v>0</v>
      </c>
      <c r="BI154" s="17">
        <f t="shared" si="217"/>
        <v>0</v>
      </c>
    </row>
    <row r="155" spans="1:61" ht="12.75">
      <c r="A155" s="4" t="s">
        <v>129</v>
      </c>
      <c r="B155" s="4"/>
      <c r="C155" s="4" t="s">
        <v>501</v>
      </c>
      <c r="D155" s="71" t="s">
        <v>875</v>
      </c>
      <c r="E155" s="4" t="s">
        <v>1120</v>
      </c>
      <c r="F155" s="17">
        <v>2</v>
      </c>
      <c r="G155" s="148">
        <v>0</v>
      </c>
      <c r="H155" s="17">
        <f t="shared" si="194"/>
        <v>0</v>
      </c>
      <c r="I155" s="17">
        <f t="shared" si="195"/>
        <v>0</v>
      </c>
      <c r="J155" s="17">
        <f t="shared" si="196"/>
        <v>0</v>
      </c>
      <c r="K155" s="17">
        <v>0.00033</v>
      </c>
      <c r="L155" s="17">
        <f t="shared" si="197"/>
        <v>0.00066</v>
      </c>
      <c r="Y155" s="31">
        <f t="shared" si="198"/>
        <v>0</v>
      </c>
      <c r="AA155" s="31">
        <f t="shared" si="199"/>
        <v>0</v>
      </c>
      <c r="AB155" s="31">
        <f t="shared" si="200"/>
        <v>0</v>
      </c>
      <c r="AC155" s="31">
        <f t="shared" si="201"/>
        <v>0</v>
      </c>
      <c r="AD155" s="31">
        <f t="shared" si="202"/>
        <v>0</v>
      </c>
      <c r="AE155" s="31">
        <f t="shared" si="203"/>
        <v>0</v>
      </c>
      <c r="AF155" s="31">
        <f t="shared" si="204"/>
        <v>0</v>
      </c>
      <c r="AG155" s="31">
        <f t="shared" si="205"/>
        <v>0</v>
      </c>
      <c r="AH155" s="26"/>
      <c r="AI155" s="17">
        <f t="shared" si="206"/>
        <v>0</v>
      </c>
      <c r="AJ155" s="17">
        <f t="shared" si="207"/>
        <v>0</v>
      </c>
      <c r="AK155" s="17">
        <f t="shared" si="208"/>
        <v>0</v>
      </c>
      <c r="AM155" s="31">
        <v>21</v>
      </c>
      <c r="AN155" s="31">
        <f>G155*0.854232089388739</f>
        <v>0</v>
      </c>
      <c r="AO155" s="31">
        <f>G155*(1-0.854232089388739)</f>
        <v>0</v>
      </c>
      <c r="AP155" s="27" t="s">
        <v>13</v>
      </c>
      <c r="AU155" s="31">
        <f t="shared" si="209"/>
        <v>0</v>
      </c>
      <c r="AV155" s="31">
        <f t="shared" si="210"/>
        <v>0</v>
      </c>
      <c r="AW155" s="31">
        <f t="shared" si="211"/>
        <v>0</v>
      </c>
      <c r="AX155" s="32" t="s">
        <v>1174</v>
      </c>
      <c r="AY155" s="32" t="s">
        <v>1207</v>
      </c>
      <c r="AZ155" s="26" t="s">
        <v>1215</v>
      </c>
      <c r="BB155" s="31">
        <f t="shared" si="212"/>
        <v>0</v>
      </c>
      <c r="BC155" s="31">
        <f t="shared" si="213"/>
        <v>0</v>
      </c>
      <c r="BD155" s="31">
        <v>0</v>
      </c>
      <c r="BE155" s="31">
        <f t="shared" si="214"/>
        <v>0.00066</v>
      </c>
      <c r="BG155" s="17">
        <f t="shared" si="215"/>
        <v>0</v>
      </c>
      <c r="BH155" s="17">
        <f t="shared" si="216"/>
        <v>0</v>
      </c>
      <c r="BI155" s="17">
        <f t="shared" si="217"/>
        <v>0</v>
      </c>
    </row>
    <row r="156" spans="1:61" ht="12.75">
      <c r="A156" s="4" t="s">
        <v>130</v>
      </c>
      <c r="B156" s="4"/>
      <c r="C156" s="4" t="s">
        <v>502</v>
      </c>
      <c r="D156" s="71" t="s">
        <v>876</v>
      </c>
      <c r="E156" s="4" t="s">
        <v>1120</v>
      </c>
      <c r="F156" s="17">
        <v>1</v>
      </c>
      <c r="G156" s="148">
        <v>0</v>
      </c>
      <c r="H156" s="17">
        <f t="shared" si="194"/>
        <v>0</v>
      </c>
      <c r="I156" s="17">
        <f t="shared" si="195"/>
        <v>0</v>
      </c>
      <c r="J156" s="17">
        <f t="shared" si="196"/>
        <v>0</v>
      </c>
      <c r="K156" s="17">
        <v>0.00018</v>
      </c>
      <c r="L156" s="17">
        <f t="shared" si="197"/>
        <v>0.00018</v>
      </c>
      <c r="Y156" s="31">
        <f t="shared" si="198"/>
        <v>0</v>
      </c>
      <c r="AA156" s="31">
        <f t="shared" si="199"/>
        <v>0</v>
      </c>
      <c r="AB156" s="31">
        <f t="shared" si="200"/>
        <v>0</v>
      </c>
      <c r="AC156" s="31">
        <f t="shared" si="201"/>
        <v>0</v>
      </c>
      <c r="AD156" s="31">
        <f t="shared" si="202"/>
        <v>0</v>
      </c>
      <c r="AE156" s="31">
        <f t="shared" si="203"/>
        <v>0</v>
      </c>
      <c r="AF156" s="31">
        <f t="shared" si="204"/>
        <v>0</v>
      </c>
      <c r="AG156" s="31">
        <f t="shared" si="205"/>
        <v>0</v>
      </c>
      <c r="AH156" s="26"/>
      <c r="AI156" s="17">
        <f t="shared" si="206"/>
        <v>0</v>
      </c>
      <c r="AJ156" s="17">
        <f t="shared" si="207"/>
        <v>0</v>
      </c>
      <c r="AK156" s="17">
        <f t="shared" si="208"/>
        <v>0</v>
      </c>
      <c r="AM156" s="31">
        <v>21</v>
      </c>
      <c r="AN156" s="31">
        <f>G156*0.652125984251968</f>
        <v>0</v>
      </c>
      <c r="AO156" s="31">
        <f>G156*(1-0.652125984251968)</f>
        <v>0</v>
      </c>
      <c r="AP156" s="27" t="s">
        <v>13</v>
      </c>
      <c r="AU156" s="31">
        <f t="shared" si="209"/>
        <v>0</v>
      </c>
      <c r="AV156" s="31">
        <f t="shared" si="210"/>
        <v>0</v>
      </c>
      <c r="AW156" s="31">
        <f t="shared" si="211"/>
        <v>0</v>
      </c>
      <c r="AX156" s="32" t="s">
        <v>1174</v>
      </c>
      <c r="AY156" s="32" t="s">
        <v>1207</v>
      </c>
      <c r="AZ156" s="26" t="s">
        <v>1215</v>
      </c>
      <c r="BB156" s="31">
        <f t="shared" si="212"/>
        <v>0</v>
      </c>
      <c r="BC156" s="31">
        <f t="shared" si="213"/>
        <v>0</v>
      </c>
      <c r="BD156" s="31">
        <v>0</v>
      </c>
      <c r="BE156" s="31">
        <f t="shared" si="214"/>
        <v>0.00018</v>
      </c>
      <c r="BG156" s="17">
        <f t="shared" si="215"/>
        <v>0</v>
      </c>
      <c r="BH156" s="17">
        <f t="shared" si="216"/>
        <v>0</v>
      </c>
      <c r="BI156" s="17">
        <f t="shared" si="217"/>
        <v>0</v>
      </c>
    </row>
    <row r="157" spans="1:61" ht="12.75">
      <c r="A157" s="4" t="s">
        <v>131</v>
      </c>
      <c r="B157" s="4"/>
      <c r="C157" s="4" t="s">
        <v>503</v>
      </c>
      <c r="D157" s="71" t="s">
        <v>877</v>
      </c>
      <c r="E157" s="4" t="s">
        <v>1120</v>
      </c>
      <c r="F157" s="17">
        <v>1</v>
      </c>
      <c r="G157" s="148">
        <v>0</v>
      </c>
      <c r="H157" s="17">
        <f t="shared" si="194"/>
        <v>0</v>
      </c>
      <c r="I157" s="17">
        <f t="shared" si="195"/>
        <v>0</v>
      </c>
      <c r="J157" s="17">
        <f t="shared" si="196"/>
        <v>0</v>
      </c>
      <c r="K157" s="17">
        <v>0.00025</v>
      </c>
      <c r="L157" s="17">
        <f t="shared" si="197"/>
        <v>0.00025</v>
      </c>
      <c r="Y157" s="31">
        <f t="shared" si="198"/>
        <v>0</v>
      </c>
      <c r="AA157" s="31">
        <f t="shared" si="199"/>
        <v>0</v>
      </c>
      <c r="AB157" s="31">
        <f t="shared" si="200"/>
        <v>0</v>
      </c>
      <c r="AC157" s="31">
        <f t="shared" si="201"/>
        <v>0</v>
      </c>
      <c r="AD157" s="31">
        <f t="shared" si="202"/>
        <v>0</v>
      </c>
      <c r="AE157" s="31">
        <f t="shared" si="203"/>
        <v>0</v>
      </c>
      <c r="AF157" s="31">
        <f t="shared" si="204"/>
        <v>0</v>
      </c>
      <c r="AG157" s="31">
        <f t="shared" si="205"/>
        <v>0</v>
      </c>
      <c r="AH157" s="26"/>
      <c r="AI157" s="17">
        <f t="shared" si="206"/>
        <v>0</v>
      </c>
      <c r="AJ157" s="17">
        <f t="shared" si="207"/>
        <v>0</v>
      </c>
      <c r="AK157" s="17">
        <f t="shared" si="208"/>
        <v>0</v>
      </c>
      <c r="AM157" s="31">
        <v>21</v>
      </c>
      <c r="AN157" s="31">
        <f>G157*0.725536</f>
        <v>0</v>
      </c>
      <c r="AO157" s="31">
        <f>G157*(1-0.725536)</f>
        <v>0</v>
      </c>
      <c r="AP157" s="27" t="s">
        <v>13</v>
      </c>
      <c r="AU157" s="31">
        <f t="shared" si="209"/>
        <v>0</v>
      </c>
      <c r="AV157" s="31">
        <f t="shared" si="210"/>
        <v>0</v>
      </c>
      <c r="AW157" s="31">
        <f t="shared" si="211"/>
        <v>0</v>
      </c>
      <c r="AX157" s="32" t="s">
        <v>1174</v>
      </c>
      <c r="AY157" s="32" t="s">
        <v>1207</v>
      </c>
      <c r="AZ157" s="26" t="s">
        <v>1215</v>
      </c>
      <c r="BB157" s="31">
        <f t="shared" si="212"/>
        <v>0</v>
      </c>
      <c r="BC157" s="31">
        <f t="shared" si="213"/>
        <v>0</v>
      </c>
      <c r="BD157" s="31">
        <v>0</v>
      </c>
      <c r="BE157" s="31">
        <f t="shared" si="214"/>
        <v>0.00025</v>
      </c>
      <c r="BG157" s="17">
        <f t="shared" si="215"/>
        <v>0</v>
      </c>
      <c r="BH157" s="17">
        <f t="shared" si="216"/>
        <v>0</v>
      </c>
      <c r="BI157" s="17">
        <f t="shared" si="217"/>
        <v>0</v>
      </c>
    </row>
    <row r="158" spans="1:61" ht="12.75">
      <c r="A158" s="4" t="s">
        <v>132</v>
      </c>
      <c r="B158" s="4"/>
      <c r="C158" s="4" t="s">
        <v>504</v>
      </c>
      <c r="D158" s="71" t="s">
        <v>878</v>
      </c>
      <c r="E158" s="4" t="s">
        <v>1120</v>
      </c>
      <c r="F158" s="17">
        <v>1</v>
      </c>
      <c r="G158" s="148">
        <v>0</v>
      </c>
      <c r="H158" s="17">
        <f t="shared" si="194"/>
        <v>0</v>
      </c>
      <c r="I158" s="17">
        <f t="shared" si="195"/>
        <v>0</v>
      </c>
      <c r="J158" s="17">
        <f t="shared" si="196"/>
        <v>0</v>
      </c>
      <c r="K158" s="17">
        <v>0.0004</v>
      </c>
      <c r="L158" s="17">
        <f t="shared" si="197"/>
        <v>0.0004</v>
      </c>
      <c r="Y158" s="31">
        <f t="shared" si="198"/>
        <v>0</v>
      </c>
      <c r="AA158" s="31">
        <f t="shared" si="199"/>
        <v>0</v>
      </c>
      <c r="AB158" s="31">
        <f t="shared" si="200"/>
        <v>0</v>
      </c>
      <c r="AC158" s="31">
        <f t="shared" si="201"/>
        <v>0</v>
      </c>
      <c r="AD158" s="31">
        <f t="shared" si="202"/>
        <v>0</v>
      </c>
      <c r="AE158" s="31">
        <f t="shared" si="203"/>
        <v>0</v>
      </c>
      <c r="AF158" s="31">
        <f t="shared" si="204"/>
        <v>0</v>
      </c>
      <c r="AG158" s="31">
        <f t="shared" si="205"/>
        <v>0</v>
      </c>
      <c r="AH158" s="26"/>
      <c r="AI158" s="17">
        <f t="shared" si="206"/>
        <v>0</v>
      </c>
      <c r="AJ158" s="17">
        <f t="shared" si="207"/>
        <v>0</v>
      </c>
      <c r="AK158" s="17">
        <f t="shared" si="208"/>
        <v>0</v>
      </c>
      <c r="AM158" s="31">
        <v>21</v>
      </c>
      <c r="AN158" s="31">
        <f>G158*0.773100120627262</f>
        <v>0</v>
      </c>
      <c r="AO158" s="31">
        <f>G158*(1-0.773100120627262)</f>
        <v>0</v>
      </c>
      <c r="AP158" s="27" t="s">
        <v>13</v>
      </c>
      <c r="AU158" s="31">
        <f t="shared" si="209"/>
        <v>0</v>
      </c>
      <c r="AV158" s="31">
        <f t="shared" si="210"/>
        <v>0</v>
      </c>
      <c r="AW158" s="31">
        <f t="shared" si="211"/>
        <v>0</v>
      </c>
      <c r="AX158" s="32" t="s">
        <v>1174</v>
      </c>
      <c r="AY158" s="32" t="s">
        <v>1207</v>
      </c>
      <c r="AZ158" s="26" t="s">
        <v>1215</v>
      </c>
      <c r="BB158" s="31">
        <f t="shared" si="212"/>
        <v>0</v>
      </c>
      <c r="BC158" s="31">
        <f t="shared" si="213"/>
        <v>0</v>
      </c>
      <c r="BD158" s="31">
        <v>0</v>
      </c>
      <c r="BE158" s="31">
        <f t="shared" si="214"/>
        <v>0.0004</v>
      </c>
      <c r="BG158" s="17">
        <f t="shared" si="215"/>
        <v>0</v>
      </c>
      <c r="BH158" s="17">
        <f t="shared" si="216"/>
        <v>0</v>
      </c>
      <c r="BI158" s="17">
        <f t="shared" si="217"/>
        <v>0</v>
      </c>
    </row>
    <row r="159" spans="1:61" ht="25.5">
      <c r="A159" s="4" t="s">
        <v>133</v>
      </c>
      <c r="B159" s="4"/>
      <c r="C159" s="4" t="s">
        <v>505</v>
      </c>
      <c r="D159" s="71" t="s">
        <v>879</v>
      </c>
      <c r="E159" s="4" t="s">
        <v>1120</v>
      </c>
      <c r="F159" s="17">
        <v>1</v>
      </c>
      <c r="G159" s="148">
        <v>0</v>
      </c>
      <c r="H159" s="17">
        <f t="shared" si="194"/>
        <v>0</v>
      </c>
      <c r="I159" s="17">
        <f t="shared" si="195"/>
        <v>0</v>
      </c>
      <c r="J159" s="17">
        <f t="shared" si="196"/>
        <v>0</v>
      </c>
      <c r="K159" s="17">
        <v>0.04542</v>
      </c>
      <c r="L159" s="17">
        <f t="shared" si="197"/>
        <v>0.04542</v>
      </c>
      <c r="Y159" s="31">
        <f t="shared" si="198"/>
        <v>0</v>
      </c>
      <c r="AA159" s="31">
        <f t="shared" si="199"/>
        <v>0</v>
      </c>
      <c r="AB159" s="31">
        <f t="shared" si="200"/>
        <v>0</v>
      </c>
      <c r="AC159" s="31">
        <f t="shared" si="201"/>
        <v>0</v>
      </c>
      <c r="AD159" s="31">
        <f t="shared" si="202"/>
        <v>0</v>
      </c>
      <c r="AE159" s="31">
        <f t="shared" si="203"/>
        <v>0</v>
      </c>
      <c r="AF159" s="31">
        <f t="shared" si="204"/>
        <v>0</v>
      </c>
      <c r="AG159" s="31">
        <f t="shared" si="205"/>
        <v>0</v>
      </c>
      <c r="AH159" s="26"/>
      <c r="AI159" s="17">
        <f t="shared" si="206"/>
        <v>0</v>
      </c>
      <c r="AJ159" s="17">
        <f t="shared" si="207"/>
        <v>0</v>
      </c>
      <c r="AK159" s="17">
        <f t="shared" si="208"/>
        <v>0</v>
      </c>
      <c r="AM159" s="31">
        <v>21</v>
      </c>
      <c r="AN159" s="31">
        <f>G159*0.772237876723378</f>
        <v>0</v>
      </c>
      <c r="AO159" s="31">
        <f>G159*(1-0.772237876723378)</f>
        <v>0</v>
      </c>
      <c r="AP159" s="27" t="s">
        <v>13</v>
      </c>
      <c r="AU159" s="31">
        <f t="shared" si="209"/>
        <v>0</v>
      </c>
      <c r="AV159" s="31">
        <f t="shared" si="210"/>
        <v>0</v>
      </c>
      <c r="AW159" s="31">
        <f t="shared" si="211"/>
        <v>0</v>
      </c>
      <c r="AX159" s="32" t="s">
        <v>1174</v>
      </c>
      <c r="AY159" s="32" t="s">
        <v>1207</v>
      </c>
      <c r="AZ159" s="26" t="s">
        <v>1215</v>
      </c>
      <c r="BB159" s="31">
        <f t="shared" si="212"/>
        <v>0</v>
      </c>
      <c r="BC159" s="31">
        <f t="shared" si="213"/>
        <v>0</v>
      </c>
      <c r="BD159" s="31">
        <v>0</v>
      </c>
      <c r="BE159" s="31">
        <f t="shared" si="214"/>
        <v>0.04542</v>
      </c>
      <c r="BG159" s="17">
        <f t="shared" si="215"/>
        <v>0</v>
      </c>
      <c r="BH159" s="17">
        <f t="shared" si="216"/>
        <v>0</v>
      </c>
      <c r="BI159" s="17">
        <f t="shared" si="217"/>
        <v>0</v>
      </c>
    </row>
    <row r="160" spans="1:61" ht="12.75">
      <c r="A160" s="4" t="s">
        <v>134</v>
      </c>
      <c r="B160" s="4"/>
      <c r="C160" s="4" t="s">
        <v>506</v>
      </c>
      <c r="D160" s="71" t="s">
        <v>880</v>
      </c>
      <c r="E160" s="4" t="s">
        <v>1120</v>
      </c>
      <c r="F160" s="17">
        <v>2</v>
      </c>
      <c r="G160" s="148">
        <v>0</v>
      </c>
      <c r="H160" s="17">
        <f t="shared" si="194"/>
        <v>0</v>
      </c>
      <c r="I160" s="17">
        <f t="shared" si="195"/>
        <v>0</v>
      </c>
      <c r="J160" s="17">
        <f t="shared" si="196"/>
        <v>0</v>
      </c>
      <c r="K160" s="17">
        <v>0.0049</v>
      </c>
      <c r="L160" s="17">
        <f t="shared" si="197"/>
        <v>0.0098</v>
      </c>
      <c r="Y160" s="31">
        <f t="shared" si="198"/>
        <v>0</v>
      </c>
      <c r="AA160" s="31">
        <f t="shared" si="199"/>
        <v>0</v>
      </c>
      <c r="AB160" s="31">
        <f t="shared" si="200"/>
        <v>0</v>
      </c>
      <c r="AC160" s="31">
        <f t="shared" si="201"/>
        <v>0</v>
      </c>
      <c r="AD160" s="31">
        <f t="shared" si="202"/>
        <v>0</v>
      </c>
      <c r="AE160" s="31">
        <f t="shared" si="203"/>
        <v>0</v>
      </c>
      <c r="AF160" s="31">
        <f t="shared" si="204"/>
        <v>0</v>
      </c>
      <c r="AG160" s="31">
        <f t="shared" si="205"/>
        <v>0</v>
      </c>
      <c r="AH160" s="26"/>
      <c r="AI160" s="17">
        <f t="shared" si="206"/>
        <v>0</v>
      </c>
      <c r="AJ160" s="17">
        <f t="shared" si="207"/>
        <v>0</v>
      </c>
      <c r="AK160" s="17">
        <f t="shared" si="208"/>
        <v>0</v>
      </c>
      <c r="AM160" s="31">
        <v>21</v>
      </c>
      <c r="AN160" s="31">
        <f>G160*0.704809758204781</f>
        <v>0</v>
      </c>
      <c r="AO160" s="31">
        <f>G160*(1-0.704809758204781)</f>
        <v>0</v>
      </c>
      <c r="AP160" s="27" t="s">
        <v>13</v>
      </c>
      <c r="AU160" s="31">
        <f t="shared" si="209"/>
        <v>0</v>
      </c>
      <c r="AV160" s="31">
        <f t="shared" si="210"/>
        <v>0</v>
      </c>
      <c r="AW160" s="31">
        <f t="shared" si="211"/>
        <v>0</v>
      </c>
      <c r="AX160" s="32" t="s">
        <v>1174</v>
      </c>
      <c r="AY160" s="32" t="s">
        <v>1207</v>
      </c>
      <c r="AZ160" s="26" t="s">
        <v>1215</v>
      </c>
      <c r="BB160" s="31">
        <f t="shared" si="212"/>
        <v>0</v>
      </c>
      <c r="BC160" s="31">
        <f t="shared" si="213"/>
        <v>0</v>
      </c>
      <c r="BD160" s="31">
        <v>0</v>
      </c>
      <c r="BE160" s="31">
        <f t="shared" si="214"/>
        <v>0.0098</v>
      </c>
      <c r="BG160" s="17">
        <f t="shared" si="215"/>
        <v>0</v>
      </c>
      <c r="BH160" s="17">
        <f t="shared" si="216"/>
        <v>0</v>
      </c>
      <c r="BI160" s="17">
        <f t="shared" si="217"/>
        <v>0</v>
      </c>
    </row>
    <row r="161" spans="1:61" ht="12.75">
      <c r="A161" s="4" t="s">
        <v>135</v>
      </c>
      <c r="B161" s="4"/>
      <c r="C161" s="4" t="s">
        <v>507</v>
      </c>
      <c r="D161" s="71" t="s">
        <v>881</v>
      </c>
      <c r="E161" s="4" t="s">
        <v>1125</v>
      </c>
      <c r="F161" s="17">
        <v>1</v>
      </c>
      <c r="G161" s="148">
        <v>0</v>
      </c>
      <c r="H161" s="17">
        <f t="shared" si="194"/>
        <v>0</v>
      </c>
      <c r="I161" s="17">
        <f t="shared" si="195"/>
        <v>0</v>
      </c>
      <c r="J161" s="17">
        <f t="shared" si="196"/>
        <v>0</v>
      </c>
      <c r="K161" s="17">
        <v>0.00046</v>
      </c>
      <c r="L161" s="17">
        <f t="shared" si="197"/>
        <v>0.00046</v>
      </c>
      <c r="Y161" s="31">
        <f t="shared" si="198"/>
        <v>0</v>
      </c>
      <c r="AA161" s="31">
        <f t="shared" si="199"/>
        <v>0</v>
      </c>
      <c r="AB161" s="31">
        <f t="shared" si="200"/>
        <v>0</v>
      </c>
      <c r="AC161" s="31">
        <f t="shared" si="201"/>
        <v>0</v>
      </c>
      <c r="AD161" s="31">
        <f t="shared" si="202"/>
        <v>0</v>
      </c>
      <c r="AE161" s="31">
        <f t="shared" si="203"/>
        <v>0</v>
      </c>
      <c r="AF161" s="31">
        <f t="shared" si="204"/>
        <v>0</v>
      </c>
      <c r="AG161" s="31">
        <f t="shared" si="205"/>
        <v>0</v>
      </c>
      <c r="AH161" s="26"/>
      <c r="AI161" s="17">
        <f t="shared" si="206"/>
        <v>0</v>
      </c>
      <c r="AJ161" s="17">
        <f t="shared" si="207"/>
        <v>0</v>
      </c>
      <c r="AK161" s="17">
        <f t="shared" si="208"/>
        <v>0</v>
      </c>
      <c r="AM161" s="31">
        <v>21</v>
      </c>
      <c r="AN161" s="31">
        <f>G161*0.769230769230769</f>
        <v>0</v>
      </c>
      <c r="AO161" s="31">
        <f>G161*(1-0.769230769230769)</f>
        <v>0</v>
      </c>
      <c r="AP161" s="27" t="s">
        <v>13</v>
      </c>
      <c r="AU161" s="31">
        <f t="shared" si="209"/>
        <v>0</v>
      </c>
      <c r="AV161" s="31">
        <f t="shared" si="210"/>
        <v>0</v>
      </c>
      <c r="AW161" s="31">
        <f t="shared" si="211"/>
        <v>0</v>
      </c>
      <c r="AX161" s="32" t="s">
        <v>1174</v>
      </c>
      <c r="AY161" s="32" t="s">
        <v>1207</v>
      </c>
      <c r="AZ161" s="26" t="s">
        <v>1215</v>
      </c>
      <c r="BB161" s="31">
        <f t="shared" si="212"/>
        <v>0</v>
      </c>
      <c r="BC161" s="31">
        <f t="shared" si="213"/>
        <v>0</v>
      </c>
      <c r="BD161" s="31">
        <v>0</v>
      </c>
      <c r="BE161" s="31">
        <f t="shared" si="214"/>
        <v>0.00046</v>
      </c>
      <c r="BG161" s="17">
        <f t="shared" si="215"/>
        <v>0</v>
      </c>
      <c r="BH161" s="17">
        <f t="shared" si="216"/>
        <v>0</v>
      </c>
      <c r="BI161" s="17">
        <f t="shared" si="217"/>
        <v>0</v>
      </c>
    </row>
    <row r="162" spans="1:61" ht="25.5">
      <c r="A162" s="4" t="s">
        <v>136</v>
      </c>
      <c r="B162" s="4"/>
      <c r="C162" s="4" t="s">
        <v>508</v>
      </c>
      <c r="D162" s="71" t="s">
        <v>882</v>
      </c>
      <c r="E162" s="4" t="s">
        <v>1120</v>
      </c>
      <c r="F162" s="17">
        <v>1</v>
      </c>
      <c r="G162" s="148">
        <v>0</v>
      </c>
      <c r="H162" s="17">
        <f t="shared" si="194"/>
        <v>0</v>
      </c>
      <c r="I162" s="17">
        <f t="shared" si="195"/>
        <v>0</v>
      </c>
      <c r="J162" s="17">
        <f t="shared" si="196"/>
        <v>0</v>
      </c>
      <c r="K162" s="17">
        <v>1.79</v>
      </c>
      <c r="L162" s="17">
        <f t="shared" si="197"/>
        <v>1.79</v>
      </c>
      <c r="Y162" s="31">
        <f t="shared" si="198"/>
        <v>0</v>
      </c>
      <c r="AA162" s="31">
        <f t="shared" si="199"/>
        <v>0</v>
      </c>
      <c r="AB162" s="31">
        <f t="shared" si="200"/>
        <v>0</v>
      </c>
      <c r="AC162" s="31">
        <f t="shared" si="201"/>
        <v>0</v>
      </c>
      <c r="AD162" s="31">
        <f t="shared" si="202"/>
        <v>0</v>
      </c>
      <c r="AE162" s="31">
        <f t="shared" si="203"/>
        <v>0</v>
      </c>
      <c r="AF162" s="31">
        <f t="shared" si="204"/>
        <v>0</v>
      </c>
      <c r="AG162" s="31">
        <f t="shared" si="205"/>
        <v>0</v>
      </c>
      <c r="AH162" s="26"/>
      <c r="AI162" s="17">
        <f t="shared" si="206"/>
        <v>0</v>
      </c>
      <c r="AJ162" s="17">
        <f t="shared" si="207"/>
        <v>0</v>
      </c>
      <c r="AK162" s="17">
        <f t="shared" si="208"/>
        <v>0</v>
      </c>
      <c r="AM162" s="31">
        <v>21</v>
      </c>
      <c r="AN162" s="31">
        <f>G162*0.829411764705882</f>
        <v>0</v>
      </c>
      <c r="AO162" s="31">
        <f>G162*(1-0.829411764705882)</f>
        <v>0</v>
      </c>
      <c r="AP162" s="27" t="s">
        <v>13</v>
      </c>
      <c r="AU162" s="31">
        <f t="shared" si="209"/>
        <v>0</v>
      </c>
      <c r="AV162" s="31">
        <f t="shared" si="210"/>
        <v>0</v>
      </c>
      <c r="AW162" s="31">
        <f t="shared" si="211"/>
        <v>0</v>
      </c>
      <c r="AX162" s="32" t="s">
        <v>1174</v>
      </c>
      <c r="AY162" s="32" t="s">
        <v>1207</v>
      </c>
      <c r="AZ162" s="26" t="s">
        <v>1215</v>
      </c>
      <c r="BB162" s="31">
        <f t="shared" si="212"/>
        <v>0</v>
      </c>
      <c r="BC162" s="31">
        <f t="shared" si="213"/>
        <v>0</v>
      </c>
      <c r="BD162" s="31">
        <v>0</v>
      </c>
      <c r="BE162" s="31">
        <f t="shared" si="214"/>
        <v>1.79</v>
      </c>
      <c r="BG162" s="17">
        <f t="shared" si="215"/>
        <v>0</v>
      </c>
      <c r="BH162" s="17">
        <f t="shared" si="216"/>
        <v>0</v>
      </c>
      <c r="BI162" s="17">
        <f t="shared" si="217"/>
        <v>0</v>
      </c>
    </row>
    <row r="163" spans="1:61" ht="12.75">
      <c r="A163" s="4" t="s">
        <v>137</v>
      </c>
      <c r="B163" s="4"/>
      <c r="C163" s="4" t="s">
        <v>509</v>
      </c>
      <c r="D163" s="71" t="s">
        <v>883</v>
      </c>
      <c r="E163" s="4" t="s">
        <v>1120</v>
      </c>
      <c r="F163" s="17">
        <v>1</v>
      </c>
      <c r="G163" s="148">
        <v>0</v>
      </c>
      <c r="H163" s="17">
        <f t="shared" si="194"/>
        <v>0</v>
      </c>
      <c r="I163" s="17">
        <f t="shared" si="195"/>
        <v>0</v>
      </c>
      <c r="J163" s="17">
        <f t="shared" si="196"/>
        <v>0</v>
      </c>
      <c r="K163" s="17">
        <v>0.3151</v>
      </c>
      <c r="L163" s="17">
        <f t="shared" si="197"/>
        <v>0.3151</v>
      </c>
      <c r="Y163" s="31">
        <f t="shared" si="198"/>
        <v>0</v>
      </c>
      <c r="AA163" s="31">
        <f t="shared" si="199"/>
        <v>0</v>
      </c>
      <c r="AB163" s="31">
        <f t="shared" si="200"/>
        <v>0</v>
      </c>
      <c r="AC163" s="31">
        <f t="shared" si="201"/>
        <v>0</v>
      </c>
      <c r="AD163" s="31">
        <f t="shared" si="202"/>
        <v>0</v>
      </c>
      <c r="AE163" s="31">
        <f t="shared" si="203"/>
        <v>0</v>
      </c>
      <c r="AF163" s="31">
        <f t="shared" si="204"/>
        <v>0</v>
      </c>
      <c r="AG163" s="31">
        <f t="shared" si="205"/>
        <v>0</v>
      </c>
      <c r="AH163" s="26"/>
      <c r="AI163" s="17">
        <f t="shared" si="206"/>
        <v>0</v>
      </c>
      <c r="AJ163" s="17">
        <f t="shared" si="207"/>
        <v>0</v>
      </c>
      <c r="AK163" s="17">
        <f t="shared" si="208"/>
        <v>0</v>
      </c>
      <c r="AM163" s="31">
        <v>21</v>
      </c>
      <c r="AN163" s="31">
        <f>G163*0.726226179108894</f>
        <v>0</v>
      </c>
      <c r="AO163" s="31">
        <f>G163*(1-0.726226179108894)</f>
        <v>0</v>
      </c>
      <c r="AP163" s="27" t="s">
        <v>13</v>
      </c>
      <c r="AU163" s="31">
        <f t="shared" si="209"/>
        <v>0</v>
      </c>
      <c r="AV163" s="31">
        <f t="shared" si="210"/>
        <v>0</v>
      </c>
      <c r="AW163" s="31">
        <f t="shared" si="211"/>
        <v>0</v>
      </c>
      <c r="AX163" s="32" t="s">
        <v>1174</v>
      </c>
      <c r="AY163" s="32" t="s">
        <v>1207</v>
      </c>
      <c r="AZ163" s="26" t="s">
        <v>1215</v>
      </c>
      <c r="BB163" s="31">
        <f t="shared" si="212"/>
        <v>0</v>
      </c>
      <c r="BC163" s="31">
        <f t="shared" si="213"/>
        <v>0</v>
      </c>
      <c r="BD163" s="31">
        <v>0</v>
      </c>
      <c r="BE163" s="31">
        <f t="shared" si="214"/>
        <v>0.3151</v>
      </c>
      <c r="BG163" s="17">
        <f t="shared" si="215"/>
        <v>0</v>
      </c>
      <c r="BH163" s="17">
        <f t="shared" si="216"/>
        <v>0</v>
      </c>
      <c r="BI163" s="17">
        <f t="shared" si="217"/>
        <v>0</v>
      </c>
    </row>
    <row r="164" spans="1:61" ht="12.75">
      <c r="A164" s="4" t="s">
        <v>138</v>
      </c>
      <c r="B164" s="4"/>
      <c r="C164" s="4" t="s">
        <v>510</v>
      </c>
      <c r="D164" s="71" t="s">
        <v>884</v>
      </c>
      <c r="E164" s="4" t="s">
        <v>1126</v>
      </c>
      <c r="F164" s="17">
        <v>5</v>
      </c>
      <c r="G164" s="148">
        <v>0</v>
      </c>
      <c r="H164" s="17">
        <f t="shared" si="194"/>
        <v>0</v>
      </c>
      <c r="I164" s="17">
        <f t="shared" si="195"/>
        <v>0</v>
      </c>
      <c r="J164" s="17">
        <f t="shared" si="196"/>
        <v>0</v>
      </c>
      <c r="K164" s="17">
        <v>0.00816</v>
      </c>
      <c r="L164" s="17">
        <f t="shared" si="197"/>
        <v>0.0408</v>
      </c>
      <c r="Y164" s="31">
        <f t="shared" si="198"/>
        <v>0</v>
      </c>
      <c r="AA164" s="31">
        <f t="shared" si="199"/>
        <v>0</v>
      </c>
      <c r="AB164" s="31">
        <f t="shared" si="200"/>
        <v>0</v>
      </c>
      <c r="AC164" s="31">
        <f t="shared" si="201"/>
        <v>0</v>
      </c>
      <c r="AD164" s="31">
        <f t="shared" si="202"/>
        <v>0</v>
      </c>
      <c r="AE164" s="31">
        <f t="shared" si="203"/>
        <v>0</v>
      </c>
      <c r="AF164" s="31">
        <f t="shared" si="204"/>
        <v>0</v>
      </c>
      <c r="AG164" s="31">
        <f t="shared" si="205"/>
        <v>0</v>
      </c>
      <c r="AH164" s="26"/>
      <c r="AI164" s="17">
        <f t="shared" si="206"/>
        <v>0</v>
      </c>
      <c r="AJ164" s="17">
        <f t="shared" si="207"/>
        <v>0</v>
      </c>
      <c r="AK164" s="17">
        <f t="shared" si="208"/>
        <v>0</v>
      </c>
      <c r="AM164" s="31">
        <v>21</v>
      </c>
      <c r="AN164" s="31">
        <f>G164*0.02040625</f>
        <v>0</v>
      </c>
      <c r="AO164" s="31">
        <f>G164*(1-0.02040625)</f>
        <v>0</v>
      </c>
      <c r="AP164" s="27" t="s">
        <v>8</v>
      </c>
      <c r="AU164" s="31">
        <f t="shared" si="209"/>
        <v>0</v>
      </c>
      <c r="AV164" s="31">
        <f t="shared" si="210"/>
        <v>0</v>
      </c>
      <c r="AW164" s="31">
        <f t="shared" si="211"/>
        <v>0</v>
      </c>
      <c r="AX164" s="32" t="s">
        <v>1174</v>
      </c>
      <c r="AY164" s="32" t="s">
        <v>1207</v>
      </c>
      <c r="AZ164" s="26" t="s">
        <v>1215</v>
      </c>
      <c r="BB164" s="31">
        <f t="shared" si="212"/>
        <v>0</v>
      </c>
      <c r="BC164" s="31">
        <f t="shared" si="213"/>
        <v>0</v>
      </c>
      <c r="BD164" s="31">
        <v>0</v>
      </c>
      <c r="BE164" s="31">
        <f t="shared" si="214"/>
        <v>0.0408</v>
      </c>
      <c r="BG164" s="17">
        <f t="shared" si="215"/>
        <v>0</v>
      </c>
      <c r="BH164" s="17">
        <f t="shared" si="216"/>
        <v>0</v>
      </c>
      <c r="BI164" s="17">
        <f t="shared" si="217"/>
        <v>0</v>
      </c>
    </row>
    <row r="165" spans="1:61" ht="12.75">
      <c r="A165" s="4" t="s">
        <v>139</v>
      </c>
      <c r="B165" s="4"/>
      <c r="C165" s="4" t="s">
        <v>511</v>
      </c>
      <c r="D165" s="71" t="s">
        <v>885</v>
      </c>
      <c r="E165" s="4" t="s">
        <v>1124</v>
      </c>
      <c r="F165" s="17">
        <v>1</v>
      </c>
      <c r="G165" s="148">
        <v>0</v>
      </c>
      <c r="H165" s="17">
        <f t="shared" si="194"/>
        <v>0</v>
      </c>
      <c r="I165" s="17">
        <f t="shared" si="195"/>
        <v>0</v>
      </c>
      <c r="J165" s="17">
        <f t="shared" si="196"/>
        <v>0</v>
      </c>
      <c r="K165" s="17">
        <v>0.00039</v>
      </c>
      <c r="L165" s="17">
        <f t="shared" si="197"/>
        <v>0.00039</v>
      </c>
      <c r="Y165" s="31">
        <f t="shared" si="198"/>
        <v>0</v>
      </c>
      <c r="AA165" s="31">
        <f t="shared" si="199"/>
        <v>0</v>
      </c>
      <c r="AB165" s="31">
        <f t="shared" si="200"/>
        <v>0</v>
      </c>
      <c r="AC165" s="31">
        <f t="shared" si="201"/>
        <v>0</v>
      </c>
      <c r="AD165" s="31">
        <f t="shared" si="202"/>
        <v>0</v>
      </c>
      <c r="AE165" s="31">
        <f t="shared" si="203"/>
        <v>0</v>
      </c>
      <c r="AF165" s="31">
        <f t="shared" si="204"/>
        <v>0</v>
      </c>
      <c r="AG165" s="31">
        <f t="shared" si="205"/>
        <v>0</v>
      </c>
      <c r="AH165" s="26"/>
      <c r="AI165" s="17">
        <f t="shared" si="206"/>
        <v>0</v>
      </c>
      <c r="AJ165" s="17">
        <f t="shared" si="207"/>
        <v>0</v>
      </c>
      <c r="AK165" s="17">
        <f t="shared" si="208"/>
        <v>0</v>
      </c>
      <c r="AM165" s="31">
        <v>21</v>
      </c>
      <c r="AN165" s="31">
        <f>G165*0.8</f>
        <v>0</v>
      </c>
      <c r="AO165" s="31">
        <f>G165*(1-0.8)</f>
        <v>0</v>
      </c>
      <c r="AP165" s="27" t="s">
        <v>13</v>
      </c>
      <c r="AU165" s="31">
        <f t="shared" si="209"/>
        <v>0</v>
      </c>
      <c r="AV165" s="31">
        <f t="shared" si="210"/>
        <v>0</v>
      </c>
      <c r="AW165" s="31">
        <f t="shared" si="211"/>
        <v>0</v>
      </c>
      <c r="AX165" s="32" t="s">
        <v>1174</v>
      </c>
      <c r="AY165" s="32" t="s">
        <v>1207</v>
      </c>
      <c r="AZ165" s="26" t="s">
        <v>1215</v>
      </c>
      <c r="BB165" s="31">
        <f t="shared" si="212"/>
        <v>0</v>
      </c>
      <c r="BC165" s="31">
        <f t="shared" si="213"/>
        <v>0</v>
      </c>
      <c r="BD165" s="31">
        <v>0</v>
      </c>
      <c r="BE165" s="31">
        <f t="shared" si="214"/>
        <v>0.00039</v>
      </c>
      <c r="BG165" s="17">
        <f t="shared" si="215"/>
        <v>0</v>
      </c>
      <c r="BH165" s="17">
        <f t="shared" si="216"/>
        <v>0</v>
      </c>
      <c r="BI165" s="17">
        <f t="shared" si="217"/>
        <v>0</v>
      </c>
    </row>
    <row r="166" spans="1:61" ht="12.75">
      <c r="A166" s="4" t="s">
        <v>140</v>
      </c>
      <c r="B166" s="4"/>
      <c r="C166" s="4" t="s">
        <v>512</v>
      </c>
      <c r="D166" s="71" t="s">
        <v>886</v>
      </c>
      <c r="E166" s="4" t="s">
        <v>1123</v>
      </c>
      <c r="F166" s="17">
        <v>171</v>
      </c>
      <c r="G166" s="148">
        <v>0</v>
      </c>
      <c r="H166" s="17">
        <f t="shared" si="194"/>
        <v>0</v>
      </c>
      <c r="I166" s="17">
        <f t="shared" si="195"/>
        <v>0</v>
      </c>
      <c r="J166" s="17">
        <f t="shared" si="196"/>
        <v>0</v>
      </c>
      <c r="K166" s="17">
        <v>1E-05</v>
      </c>
      <c r="L166" s="17">
        <f t="shared" si="197"/>
        <v>0.0017100000000000001</v>
      </c>
      <c r="Y166" s="31">
        <f t="shared" si="198"/>
        <v>0</v>
      </c>
      <c r="AA166" s="31">
        <f t="shared" si="199"/>
        <v>0</v>
      </c>
      <c r="AB166" s="31">
        <f t="shared" si="200"/>
        <v>0</v>
      </c>
      <c r="AC166" s="31">
        <f t="shared" si="201"/>
        <v>0</v>
      </c>
      <c r="AD166" s="31">
        <f t="shared" si="202"/>
        <v>0</v>
      </c>
      <c r="AE166" s="31">
        <f t="shared" si="203"/>
        <v>0</v>
      </c>
      <c r="AF166" s="31">
        <f t="shared" si="204"/>
        <v>0</v>
      </c>
      <c r="AG166" s="31">
        <f t="shared" si="205"/>
        <v>0</v>
      </c>
      <c r="AH166" s="26"/>
      <c r="AI166" s="17">
        <f t="shared" si="206"/>
        <v>0</v>
      </c>
      <c r="AJ166" s="17">
        <f t="shared" si="207"/>
        <v>0</v>
      </c>
      <c r="AK166" s="17">
        <f t="shared" si="208"/>
        <v>0</v>
      </c>
      <c r="AM166" s="31">
        <v>21</v>
      </c>
      <c r="AN166" s="31">
        <f>G166*0.0507987220447284</f>
        <v>0</v>
      </c>
      <c r="AO166" s="31">
        <f>G166*(1-0.0507987220447284)</f>
        <v>0</v>
      </c>
      <c r="AP166" s="27" t="s">
        <v>13</v>
      </c>
      <c r="AU166" s="31">
        <f t="shared" si="209"/>
        <v>0</v>
      </c>
      <c r="AV166" s="31">
        <f t="shared" si="210"/>
        <v>0</v>
      </c>
      <c r="AW166" s="31">
        <f t="shared" si="211"/>
        <v>0</v>
      </c>
      <c r="AX166" s="32" t="s">
        <v>1174</v>
      </c>
      <c r="AY166" s="32" t="s">
        <v>1207</v>
      </c>
      <c r="AZ166" s="26" t="s">
        <v>1215</v>
      </c>
      <c r="BB166" s="31">
        <f t="shared" si="212"/>
        <v>0</v>
      </c>
      <c r="BC166" s="31">
        <f t="shared" si="213"/>
        <v>0</v>
      </c>
      <c r="BD166" s="31">
        <v>0</v>
      </c>
      <c r="BE166" s="31">
        <f t="shared" si="214"/>
        <v>0.0017100000000000001</v>
      </c>
      <c r="BG166" s="17">
        <f t="shared" si="215"/>
        <v>0</v>
      </c>
      <c r="BH166" s="17">
        <f t="shared" si="216"/>
        <v>0</v>
      </c>
      <c r="BI166" s="17">
        <f t="shared" si="217"/>
        <v>0</v>
      </c>
    </row>
    <row r="167" spans="1:61" ht="12.75">
      <c r="A167" s="4" t="s">
        <v>141</v>
      </c>
      <c r="B167" s="4"/>
      <c r="C167" s="4" t="s">
        <v>513</v>
      </c>
      <c r="D167" s="71" t="s">
        <v>887</v>
      </c>
      <c r="E167" s="4" t="s">
        <v>1123</v>
      </c>
      <c r="F167" s="17">
        <v>171</v>
      </c>
      <c r="G167" s="148">
        <v>0</v>
      </c>
      <c r="H167" s="17">
        <f t="shared" si="194"/>
        <v>0</v>
      </c>
      <c r="I167" s="17">
        <f t="shared" si="195"/>
        <v>0</v>
      </c>
      <c r="J167" s="17">
        <f t="shared" si="196"/>
        <v>0</v>
      </c>
      <c r="K167" s="17">
        <v>0</v>
      </c>
      <c r="L167" s="17">
        <f t="shared" si="197"/>
        <v>0</v>
      </c>
      <c r="Y167" s="31">
        <f t="shared" si="198"/>
        <v>0</v>
      </c>
      <c r="AA167" s="31">
        <f t="shared" si="199"/>
        <v>0</v>
      </c>
      <c r="AB167" s="31">
        <f t="shared" si="200"/>
        <v>0</v>
      </c>
      <c r="AC167" s="31">
        <f t="shared" si="201"/>
        <v>0</v>
      </c>
      <c r="AD167" s="31">
        <f t="shared" si="202"/>
        <v>0</v>
      </c>
      <c r="AE167" s="31">
        <f t="shared" si="203"/>
        <v>0</v>
      </c>
      <c r="AF167" s="31">
        <f t="shared" si="204"/>
        <v>0</v>
      </c>
      <c r="AG167" s="31">
        <f t="shared" si="205"/>
        <v>0</v>
      </c>
      <c r="AH167" s="26"/>
      <c r="AI167" s="17">
        <f t="shared" si="206"/>
        <v>0</v>
      </c>
      <c r="AJ167" s="17">
        <f t="shared" si="207"/>
        <v>0</v>
      </c>
      <c r="AK167" s="17">
        <f t="shared" si="208"/>
        <v>0</v>
      </c>
      <c r="AM167" s="31">
        <v>21</v>
      </c>
      <c r="AN167" s="31">
        <f>G167*0.0141843971631206</f>
        <v>0</v>
      </c>
      <c r="AO167" s="31">
        <f>G167*(1-0.0141843971631206)</f>
        <v>0</v>
      </c>
      <c r="AP167" s="27" t="s">
        <v>13</v>
      </c>
      <c r="AU167" s="31">
        <f t="shared" si="209"/>
        <v>0</v>
      </c>
      <c r="AV167" s="31">
        <f t="shared" si="210"/>
        <v>0</v>
      </c>
      <c r="AW167" s="31">
        <f t="shared" si="211"/>
        <v>0</v>
      </c>
      <c r="AX167" s="32" t="s">
        <v>1174</v>
      </c>
      <c r="AY167" s="32" t="s">
        <v>1207</v>
      </c>
      <c r="AZ167" s="26" t="s">
        <v>1215</v>
      </c>
      <c r="BB167" s="31">
        <f t="shared" si="212"/>
        <v>0</v>
      </c>
      <c r="BC167" s="31">
        <f t="shared" si="213"/>
        <v>0</v>
      </c>
      <c r="BD167" s="31">
        <v>0</v>
      </c>
      <c r="BE167" s="31">
        <f t="shared" si="214"/>
        <v>0</v>
      </c>
      <c r="BG167" s="17">
        <f t="shared" si="215"/>
        <v>0</v>
      </c>
      <c r="BH167" s="17">
        <f t="shared" si="216"/>
        <v>0</v>
      </c>
      <c r="BI167" s="17">
        <f t="shared" si="217"/>
        <v>0</v>
      </c>
    </row>
    <row r="168" spans="1:61" ht="38.25">
      <c r="A168" s="4" t="s">
        <v>142</v>
      </c>
      <c r="B168" s="4"/>
      <c r="C168" s="4" t="s">
        <v>514</v>
      </c>
      <c r="D168" s="71" t="s">
        <v>888</v>
      </c>
      <c r="E168" s="4" t="s">
        <v>1120</v>
      </c>
      <c r="F168" s="17">
        <v>1</v>
      </c>
      <c r="G168" s="148">
        <v>0</v>
      </c>
      <c r="H168" s="17">
        <f t="shared" si="194"/>
        <v>0</v>
      </c>
      <c r="I168" s="17">
        <f t="shared" si="195"/>
        <v>0</v>
      </c>
      <c r="J168" s="17">
        <f t="shared" si="196"/>
        <v>0</v>
      </c>
      <c r="K168" s="17">
        <v>1.92055</v>
      </c>
      <c r="L168" s="17">
        <f t="shared" si="197"/>
        <v>1.92055</v>
      </c>
      <c r="Y168" s="31">
        <f t="shared" si="198"/>
        <v>0</v>
      </c>
      <c r="AA168" s="31">
        <f t="shared" si="199"/>
        <v>0</v>
      </c>
      <c r="AB168" s="31">
        <f t="shared" si="200"/>
        <v>0</v>
      </c>
      <c r="AC168" s="31">
        <f t="shared" si="201"/>
        <v>0</v>
      </c>
      <c r="AD168" s="31">
        <f t="shared" si="202"/>
        <v>0</v>
      </c>
      <c r="AE168" s="31">
        <f t="shared" si="203"/>
        <v>0</v>
      </c>
      <c r="AF168" s="31">
        <f t="shared" si="204"/>
        <v>0</v>
      </c>
      <c r="AG168" s="31">
        <f t="shared" si="205"/>
        <v>0</v>
      </c>
      <c r="AH168" s="26"/>
      <c r="AI168" s="17">
        <f t="shared" si="206"/>
        <v>0</v>
      </c>
      <c r="AJ168" s="17">
        <f t="shared" si="207"/>
        <v>0</v>
      </c>
      <c r="AK168" s="17">
        <f t="shared" si="208"/>
        <v>0</v>
      </c>
      <c r="AM168" s="31">
        <v>21</v>
      </c>
      <c r="AN168" s="31">
        <f>G168*0</f>
        <v>0</v>
      </c>
      <c r="AO168" s="31">
        <f>G168*(1-0)</f>
        <v>0</v>
      </c>
      <c r="AP168" s="27" t="s">
        <v>13</v>
      </c>
      <c r="AU168" s="31">
        <f t="shared" si="209"/>
        <v>0</v>
      </c>
      <c r="AV168" s="31">
        <f t="shared" si="210"/>
        <v>0</v>
      </c>
      <c r="AW168" s="31">
        <f t="shared" si="211"/>
        <v>0</v>
      </c>
      <c r="AX168" s="32" t="s">
        <v>1174</v>
      </c>
      <c r="AY168" s="32" t="s">
        <v>1207</v>
      </c>
      <c r="AZ168" s="26" t="s">
        <v>1215</v>
      </c>
      <c r="BB168" s="31">
        <f t="shared" si="212"/>
        <v>0</v>
      </c>
      <c r="BC168" s="31">
        <f t="shared" si="213"/>
        <v>0</v>
      </c>
      <c r="BD168" s="31">
        <v>0</v>
      </c>
      <c r="BE168" s="31">
        <f t="shared" si="214"/>
        <v>1.92055</v>
      </c>
      <c r="BG168" s="17">
        <f t="shared" si="215"/>
        <v>0</v>
      </c>
      <c r="BH168" s="17">
        <f t="shared" si="216"/>
        <v>0</v>
      </c>
      <c r="BI168" s="17">
        <f t="shared" si="217"/>
        <v>0</v>
      </c>
    </row>
    <row r="169" spans="1:61" ht="25.5">
      <c r="A169" s="4" t="s">
        <v>143</v>
      </c>
      <c r="B169" s="4"/>
      <c r="C169" s="4" t="s">
        <v>515</v>
      </c>
      <c r="D169" s="71" t="s">
        <v>889</v>
      </c>
      <c r="E169" s="4" t="s">
        <v>1124</v>
      </c>
      <c r="F169" s="17">
        <v>1</v>
      </c>
      <c r="G169" s="148">
        <v>0</v>
      </c>
      <c r="H169" s="17">
        <f t="shared" si="194"/>
        <v>0</v>
      </c>
      <c r="I169" s="17">
        <f t="shared" si="195"/>
        <v>0</v>
      </c>
      <c r="J169" s="17">
        <f t="shared" si="196"/>
        <v>0</v>
      </c>
      <c r="K169" s="17">
        <v>0.0006</v>
      </c>
      <c r="L169" s="17">
        <f t="shared" si="197"/>
        <v>0.0006</v>
      </c>
      <c r="Y169" s="31">
        <f t="shared" si="198"/>
        <v>0</v>
      </c>
      <c r="AA169" s="31">
        <f t="shared" si="199"/>
        <v>0</v>
      </c>
      <c r="AB169" s="31">
        <f t="shared" si="200"/>
        <v>0</v>
      </c>
      <c r="AC169" s="31">
        <f t="shared" si="201"/>
        <v>0</v>
      </c>
      <c r="AD169" s="31">
        <f t="shared" si="202"/>
        <v>0</v>
      </c>
      <c r="AE169" s="31">
        <f t="shared" si="203"/>
        <v>0</v>
      </c>
      <c r="AF169" s="31">
        <f t="shared" si="204"/>
        <v>0</v>
      </c>
      <c r="AG169" s="31">
        <f t="shared" si="205"/>
        <v>0</v>
      </c>
      <c r="AH169" s="26"/>
      <c r="AI169" s="17">
        <f t="shared" si="206"/>
        <v>0</v>
      </c>
      <c r="AJ169" s="17">
        <f t="shared" si="207"/>
        <v>0</v>
      </c>
      <c r="AK169" s="17">
        <f t="shared" si="208"/>
        <v>0</v>
      </c>
      <c r="AM169" s="31">
        <v>21</v>
      </c>
      <c r="AN169" s="31">
        <f>G169*0.154929577464789</f>
        <v>0</v>
      </c>
      <c r="AO169" s="31">
        <f>G169*(1-0.154929577464789)</f>
        <v>0</v>
      </c>
      <c r="AP169" s="27" t="s">
        <v>13</v>
      </c>
      <c r="AU169" s="31">
        <f t="shared" si="209"/>
        <v>0</v>
      </c>
      <c r="AV169" s="31">
        <f t="shared" si="210"/>
        <v>0</v>
      </c>
      <c r="AW169" s="31">
        <f t="shared" si="211"/>
        <v>0</v>
      </c>
      <c r="AX169" s="32" t="s">
        <v>1174</v>
      </c>
      <c r="AY169" s="32" t="s">
        <v>1207</v>
      </c>
      <c r="AZ169" s="26" t="s">
        <v>1215</v>
      </c>
      <c r="BB169" s="31">
        <f t="shared" si="212"/>
        <v>0</v>
      </c>
      <c r="BC169" s="31">
        <f t="shared" si="213"/>
        <v>0</v>
      </c>
      <c r="BD169" s="31">
        <v>0</v>
      </c>
      <c r="BE169" s="31">
        <f t="shared" si="214"/>
        <v>0.0006</v>
      </c>
      <c r="BG169" s="17">
        <f t="shared" si="215"/>
        <v>0</v>
      </c>
      <c r="BH169" s="17">
        <f t="shared" si="216"/>
        <v>0</v>
      </c>
      <c r="BI169" s="17">
        <f t="shared" si="217"/>
        <v>0</v>
      </c>
    </row>
    <row r="170" spans="1:61" ht="12.75">
      <c r="A170" s="4" t="s">
        <v>144</v>
      </c>
      <c r="B170" s="4"/>
      <c r="C170" s="4" t="s">
        <v>516</v>
      </c>
      <c r="D170" s="71" t="s">
        <v>890</v>
      </c>
      <c r="E170" s="4" t="s">
        <v>1120</v>
      </c>
      <c r="F170" s="17">
        <v>1</v>
      </c>
      <c r="G170" s="148">
        <v>0</v>
      </c>
      <c r="H170" s="17">
        <f t="shared" si="194"/>
        <v>0</v>
      </c>
      <c r="I170" s="17">
        <f t="shared" si="195"/>
        <v>0</v>
      </c>
      <c r="J170" s="17">
        <f t="shared" si="196"/>
        <v>0</v>
      </c>
      <c r="K170" s="17">
        <v>0.00135</v>
      </c>
      <c r="L170" s="17">
        <f t="shared" si="197"/>
        <v>0.00135</v>
      </c>
      <c r="Y170" s="31">
        <f t="shared" si="198"/>
        <v>0</v>
      </c>
      <c r="AA170" s="31">
        <f t="shared" si="199"/>
        <v>0</v>
      </c>
      <c r="AB170" s="31">
        <f t="shared" si="200"/>
        <v>0</v>
      </c>
      <c r="AC170" s="31">
        <f t="shared" si="201"/>
        <v>0</v>
      </c>
      <c r="AD170" s="31">
        <f t="shared" si="202"/>
        <v>0</v>
      </c>
      <c r="AE170" s="31">
        <f t="shared" si="203"/>
        <v>0</v>
      </c>
      <c r="AF170" s="31">
        <f t="shared" si="204"/>
        <v>0</v>
      </c>
      <c r="AG170" s="31">
        <f t="shared" si="205"/>
        <v>0</v>
      </c>
      <c r="AH170" s="26"/>
      <c r="AI170" s="17">
        <f t="shared" si="206"/>
        <v>0</v>
      </c>
      <c r="AJ170" s="17">
        <f t="shared" si="207"/>
        <v>0</v>
      </c>
      <c r="AK170" s="17">
        <f t="shared" si="208"/>
        <v>0</v>
      </c>
      <c r="AM170" s="31">
        <v>21</v>
      </c>
      <c r="AN170" s="31">
        <f>G170*0.36358</f>
        <v>0</v>
      </c>
      <c r="AO170" s="31">
        <f>G170*(1-0.36358)</f>
        <v>0</v>
      </c>
      <c r="AP170" s="27" t="s">
        <v>13</v>
      </c>
      <c r="AU170" s="31">
        <f t="shared" si="209"/>
        <v>0</v>
      </c>
      <c r="AV170" s="31">
        <f t="shared" si="210"/>
        <v>0</v>
      </c>
      <c r="AW170" s="31">
        <f t="shared" si="211"/>
        <v>0</v>
      </c>
      <c r="AX170" s="32" t="s">
        <v>1174</v>
      </c>
      <c r="AY170" s="32" t="s">
        <v>1207</v>
      </c>
      <c r="AZ170" s="26" t="s">
        <v>1215</v>
      </c>
      <c r="BB170" s="31">
        <f t="shared" si="212"/>
        <v>0</v>
      </c>
      <c r="BC170" s="31">
        <f t="shared" si="213"/>
        <v>0</v>
      </c>
      <c r="BD170" s="31">
        <v>0</v>
      </c>
      <c r="BE170" s="31">
        <f t="shared" si="214"/>
        <v>0.00135</v>
      </c>
      <c r="BG170" s="17">
        <f t="shared" si="215"/>
        <v>0</v>
      </c>
      <c r="BH170" s="17">
        <f t="shared" si="216"/>
        <v>0</v>
      </c>
      <c r="BI170" s="17">
        <f t="shared" si="217"/>
        <v>0</v>
      </c>
    </row>
    <row r="171" spans="1:46" ht="12.75">
      <c r="A171" s="6"/>
      <c r="B171" s="13"/>
      <c r="C171" s="13" t="s">
        <v>517</v>
      </c>
      <c r="D171" s="73" t="s">
        <v>891</v>
      </c>
      <c r="E171" s="6" t="s">
        <v>6</v>
      </c>
      <c r="F171" s="6" t="s">
        <v>6</v>
      </c>
      <c r="G171" s="151" t="s">
        <v>6</v>
      </c>
      <c r="H171" s="34">
        <f>SUM(H172:H183)</f>
        <v>0</v>
      </c>
      <c r="I171" s="34">
        <f>SUM(I172:I183)</f>
        <v>0</v>
      </c>
      <c r="J171" s="34">
        <f>SUM(J172:J183)</f>
        <v>0</v>
      </c>
      <c r="K171" s="26"/>
      <c r="L171" s="34">
        <f>SUM(L172:L183)</f>
        <v>0.23186</v>
      </c>
      <c r="AH171" s="26"/>
      <c r="AR171" s="34">
        <f>SUM(AI172:AI183)</f>
        <v>0</v>
      </c>
      <c r="AS171" s="34">
        <f>SUM(AJ172:AJ183)</f>
        <v>0</v>
      </c>
      <c r="AT171" s="34">
        <f>SUM(AK172:AK183)</f>
        <v>0</v>
      </c>
    </row>
    <row r="172" spans="1:61" ht="12.75">
      <c r="A172" s="4" t="s">
        <v>145</v>
      </c>
      <c r="B172" s="4"/>
      <c r="C172" s="4" t="s">
        <v>518</v>
      </c>
      <c r="D172" s="71" t="s">
        <v>892</v>
      </c>
      <c r="E172" s="4" t="s">
        <v>1120</v>
      </c>
      <c r="F172" s="17">
        <v>3</v>
      </c>
      <c r="G172" s="148">
        <v>0</v>
      </c>
      <c r="H172" s="17">
        <f aca="true" t="shared" si="218" ref="H172:H183">F172*AN172</f>
        <v>0</v>
      </c>
      <c r="I172" s="17">
        <f aca="true" t="shared" si="219" ref="I172:I183">F172*AO172</f>
        <v>0</v>
      </c>
      <c r="J172" s="17">
        <f aca="true" t="shared" si="220" ref="J172:J183">F172*G172</f>
        <v>0</v>
      </c>
      <c r="K172" s="17">
        <v>0.0005</v>
      </c>
      <c r="L172" s="17">
        <f aca="true" t="shared" si="221" ref="L172:L183">F172*K172</f>
        <v>0.0015</v>
      </c>
      <c r="Y172" s="31">
        <f aca="true" t="shared" si="222" ref="Y172:Y183">IF(AP172="5",BI172,0)</f>
        <v>0</v>
      </c>
      <c r="AA172" s="31">
        <f aca="true" t="shared" si="223" ref="AA172:AA183">IF(AP172="1",BG172,0)</f>
        <v>0</v>
      </c>
      <c r="AB172" s="31">
        <f aca="true" t="shared" si="224" ref="AB172:AB183">IF(AP172="1",BH172,0)</f>
        <v>0</v>
      </c>
      <c r="AC172" s="31">
        <f aca="true" t="shared" si="225" ref="AC172:AC183">IF(AP172="7",BG172,0)</f>
        <v>0</v>
      </c>
      <c r="AD172" s="31">
        <f aca="true" t="shared" si="226" ref="AD172:AD183">IF(AP172="7",BH172,0)</f>
        <v>0</v>
      </c>
      <c r="AE172" s="31">
        <f aca="true" t="shared" si="227" ref="AE172:AE183">IF(AP172="2",BG172,0)</f>
        <v>0</v>
      </c>
      <c r="AF172" s="31">
        <f aca="true" t="shared" si="228" ref="AF172:AF183">IF(AP172="2",BH172,0)</f>
        <v>0</v>
      </c>
      <c r="AG172" s="31">
        <f aca="true" t="shared" si="229" ref="AG172:AG183">IF(AP172="0",BI172,0)</f>
        <v>0</v>
      </c>
      <c r="AH172" s="26"/>
      <c r="AI172" s="17">
        <f aca="true" t="shared" si="230" ref="AI172:AI183">IF(AM172=0,J172,0)</f>
        <v>0</v>
      </c>
      <c r="AJ172" s="17">
        <f aca="true" t="shared" si="231" ref="AJ172:AJ183">IF(AM172=15,J172,0)</f>
        <v>0</v>
      </c>
      <c r="AK172" s="17">
        <f aca="true" t="shared" si="232" ref="AK172:AK183">IF(AM172=21,J172,0)</f>
        <v>0</v>
      </c>
      <c r="AM172" s="31">
        <v>21</v>
      </c>
      <c r="AN172" s="31">
        <f>G172*0.91012213740458</f>
        <v>0</v>
      </c>
      <c r="AO172" s="31">
        <f>G172*(1-0.91012213740458)</f>
        <v>0</v>
      </c>
      <c r="AP172" s="27" t="s">
        <v>13</v>
      </c>
      <c r="AU172" s="31">
        <f aca="true" t="shared" si="233" ref="AU172:AU183">AV172+AW172</f>
        <v>0</v>
      </c>
      <c r="AV172" s="31">
        <f aca="true" t="shared" si="234" ref="AV172:AV183">F172*AN172</f>
        <v>0</v>
      </c>
      <c r="AW172" s="31">
        <f aca="true" t="shared" si="235" ref="AW172:AW183">F172*AO172</f>
        <v>0</v>
      </c>
      <c r="AX172" s="32" t="s">
        <v>1175</v>
      </c>
      <c r="AY172" s="32" t="s">
        <v>1207</v>
      </c>
      <c r="AZ172" s="26" t="s">
        <v>1215</v>
      </c>
      <c r="BB172" s="31">
        <f aca="true" t="shared" si="236" ref="BB172:BB183">AV172+AW172</f>
        <v>0</v>
      </c>
      <c r="BC172" s="31">
        <f aca="true" t="shared" si="237" ref="BC172:BC183">G172/(100-BD172)*100</f>
        <v>0</v>
      </c>
      <c r="BD172" s="31">
        <v>0</v>
      </c>
      <c r="BE172" s="31">
        <f aca="true" t="shared" si="238" ref="BE172:BE183">L172</f>
        <v>0.0015</v>
      </c>
      <c r="BG172" s="17">
        <f aca="true" t="shared" si="239" ref="BG172:BG183">F172*AN172</f>
        <v>0</v>
      </c>
      <c r="BH172" s="17">
        <f aca="true" t="shared" si="240" ref="BH172:BH183">F172*AO172</f>
        <v>0</v>
      </c>
      <c r="BI172" s="17">
        <f aca="true" t="shared" si="241" ref="BI172:BI183">F172*G172</f>
        <v>0</v>
      </c>
    </row>
    <row r="173" spans="1:61" ht="12.75">
      <c r="A173" s="4" t="s">
        <v>146</v>
      </c>
      <c r="B173" s="4"/>
      <c r="C173" s="4" t="s">
        <v>519</v>
      </c>
      <c r="D173" s="71" t="s">
        <v>893</v>
      </c>
      <c r="E173" s="4" t="s">
        <v>1120</v>
      </c>
      <c r="F173" s="17">
        <v>9</v>
      </c>
      <c r="G173" s="148">
        <v>0</v>
      </c>
      <c r="H173" s="17">
        <f t="shared" si="218"/>
        <v>0</v>
      </c>
      <c r="I173" s="17">
        <f t="shared" si="219"/>
        <v>0</v>
      </c>
      <c r="J173" s="17">
        <f t="shared" si="220"/>
        <v>0</v>
      </c>
      <c r="K173" s="17">
        <v>0.0007</v>
      </c>
      <c r="L173" s="17">
        <f t="shared" si="221"/>
        <v>0.0063</v>
      </c>
      <c r="Y173" s="31">
        <f t="shared" si="222"/>
        <v>0</v>
      </c>
      <c r="AA173" s="31">
        <f t="shared" si="223"/>
        <v>0</v>
      </c>
      <c r="AB173" s="31">
        <f t="shared" si="224"/>
        <v>0</v>
      </c>
      <c r="AC173" s="31">
        <f t="shared" si="225"/>
        <v>0</v>
      </c>
      <c r="AD173" s="31">
        <f t="shared" si="226"/>
        <v>0</v>
      </c>
      <c r="AE173" s="31">
        <f t="shared" si="227"/>
        <v>0</v>
      </c>
      <c r="AF173" s="31">
        <f t="shared" si="228"/>
        <v>0</v>
      </c>
      <c r="AG173" s="31">
        <f t="shared" si="229"/>
        <v>0</v>
      </c>
      <c r="AH173" s="26"/>
      <c r="AI173" s="17">
        <f t="shared" si="230"/>
        <v>0</v>
      </c>
      <c r="AJ173" s="17">
        <f t="shared" si="231"/>
        <v>0</v>
      </c>
      <c r="AK173" s="17">
        <f t="shared" si="232"/>
        <v>0</v>
      </c>
      <c r="AM173" s="31">
        <v>21</v>
      </c>
      <c r="AN173" s="31">
        <f>G173*0.753655793025872</f>
        <v>0</v>
      </c>
      <c r="AO173" s="31">
        <f>G173*(1-0.753655793025872)</f>
        <v>0</v>
      </c>
      <c r="AP173" s="27" t="s">
        <v>13</v>
      </c>
      <c r="AU173" s="31">
        <f t="shared" si="233"/>
        <v>0</v>
      </c>
      <c r="AV173" s="31">
        <f t="shared" si="234"/>
        <v>0</v>
      </c>
      <c r="AW173" s="31">
        <f t="shared" si="235"/>
        <v>0</v>
      </c>
      <c r="AX173" s="32" t="s">
        <v>1175</v>
      </c>
      <c r="AY173" s="32" t="s">
        <v>1207</v>
      </c>
      <c r="AZ173" s="26" t="s">
        <v>1215</v>
      </c>
      <c r="BB173" s="31">
        <f t="shared" si="236"/>
        <v>0</v>
      </c>
      <c r="BC173" s="31">
        <f t="shared" si="237"/>
        <v>0</v>
      </c>
      <c r="BD173" s="31">
        <v>0</v>
      </c>
      <c r="BE173" s="31">
        <f t="shared" si="238"/>
        <v>0.0063</v>
      </c>
      <c r="BG173" s="17">
        <f t="shared" si="239"/>
        <v>0</v>
      </c>
      <c r="BH173" s="17">
        <f t="shared" si="240"/>
        <v>0</v>
      </c>
      <c r="BI173" s="17">
        <f t="shared" si="241"/>
        <v>0</v>
      </c>
    </row>
    <row r="174" spans="1:61" ht="12.75">
      <c r="A174" s="4" t="s">
        <v>147</v>
      </c>
      <c r="B174" s="4"/>
      <c r="C174" s="4" t="s">
        <v>520</v>
      </c>
      <c r="D174" s="71" t="s">
        <v>894</v>
      </c>
      <c r="E174" s="4" t="s">
        <v>1124</v>
      </c>
      <c r="F174" s="17">
        <v>1</v>
      </c>
      <c r="G174" s="148">
        <v>0</v>
      </c>
      <c r="H174" s="17">
        <f t="shared" si="218"/>
        <v>0</v>
      </c>
      <c r="I174" s="17">
        <f t="shared" si="219"/>
        <v>0</v>
      </c>
      <c r="J174" s="17">
        <f t="shared" si="220"/>
        <v>0</v>
      </c>
      <c r="K174" s="17">
        <v>0.00024</v>
      </c>
      <c r="L174" s="17">
        <f t="shared" si="221"/>
        <v>0.00024</v>
      </c>
      <c r="Y174" s="31">
        <f t="shared" si="222"/>
        <v>0</v>
      </c>
      <c r="AA174" s="31">
        <f t="shared" si="223"/>
        <v>0</v>
      </c>
      <c r="AB174" s="31">
        <f t="shared" si="224"/>
        <v>0</v>
      </c>
      <c r="AC174" s="31">
        <f t="shared" si="225"/>
        <v>0</v>
      </c>
      <c r="AD174" s="31">
        <f t="shared" si="226"/>
        <v>0</v>
      </c>
      <c r="AE174" s="31">
        <f t="shared" si="227"/>
        <v>0</v>
      </c>
      <c r="AF174" s="31">
        <f t="shared" si="228"/>
        <v>0</v>
      </c>
      <c r="AG174" s="31">
        <f t="shared" si="229"/>
        <v>0</v>
      </c>
      <c r="AH174" s="26"/>
      <c r="AI174" s="17">
        <f t="shared" si="230"/>
        <v>0</v>
      </c>
      <c r="AJ174" s="17">
        <f t="shared" si="231"/>
        <v>0</v>
      </c>
      <c r="AK174" s="17">
        <f t="shared" si="232"/>
        <v>0</v>
      </c>
      <c r="AM174" s="31">
        <v>21</v>
      </c>
      <c r="AN174" s="31">
        <f>G174*0.788886983364774</f>
        <v>0</v>
      </c>
      <c r="AO174" s="31">
        <f>G174*(1-0.788886983364774)</f>
        <v>0</v>
      </c>
      <c r="AP174" s="27" t="s">
        <v>13</v>
      </c>
      <c r="AU174" s="31">
        <f t="shared" si="233"/>
        <v>0</v>
      </c>
      <c r="AV174" s="31">
        <f t="shared" si="234"/>
        <v>0</v>
      </c>
      <c r="AW174" s="31">
        <f t="shared" si="235"/>
        <v>0</v>
      </c>
      <c r="AX174" s="32" t="s">
        <v>1175</v>
      </c>
      <c r="AY174" s="32" t="s">
        <v>1207</v>
      </c>
      <c r="AZ174" s="26" t="s">
        <v>1215</v>
      </c>
      <c r="BB174" s="31">
        <f t="shared" si="236"/>
        <v>0</v>
      </c>
      <c r="BC174" s="31">
        <f t="shared" si="237"/>
        <v>0</v>
      </c>
      <c r="BD174" s="31">
        <v>0</v>
      </c>
      <c r="BE174" s="31">
        <f t="shared" si="238"/>
        <v>0.00024</v>
      </c>
      <c r="BG174" s="17">
        <f t="shared" si="239"/>
        <v>0</v>
      </c>
      <c r="BH174" s="17">
        <f t="shared" si="240"/>
        <v>0</v>
      </c>
      <c r="BI174" s="17">
        <f t="shared" si="241"/>
        <v>0</v>
      </c>
    </row>
    <row r="175" spans="1:61" ht="38.25">
      <c r="A175" s="4" t="s">
        <v>148</v>
      </c>
      <c r="B175" s="4"/>
      <c r="C175" s="4" t="s">
        <v>521</v>
      </c>
      <c r="D175" s="71" t="s">
        <v>895</v>
      </c>
      <c r="E175" s="4" t="s">
        <v>1124</v>
      </c>
      <c r="F175" s="17">
        <v>1</v>
      </c>
      <c r="G175" s="148">
        <v>0</v>
      </c>
      <c r="H175" s="17">
        <f t="shared" si="218"/>
        <v>0</v>
      </c>
      <c r="I175" s="17">
        <f t="shared" si="219"/>
        <v>0</v>
      </c>
      <c r="J175" s="17">
        <f t="shared" si="220"/>
        <v>0</v>
      </c>
      <c r="K175" s="17">
        <v>0.016</v>
      </c>
      <c r="L175" s="17">
        <f t="shared" si="221"/>
        <v>0.016</v>
      </c>
      <c r="Y175" s="31">
        <f t="shared" si="222"/>
        <v>0</v>
      </c>
      <c r="AA175" s="31">
        <f t="shared" si="223"/>
        <v>0</v>
      </c>
      <c r="AB175" s="31">
        <f t="shared" si="224"/>
        <v>0</v>
      </c>
      <c r="AC175" s="31">
        <f t="shared" si="225"/>
        <v>0</v>
      </c>
      <c r="AD175" s="31">
        <f t="shared" si="226"/>
        <v>0</v>
      </c>
      <c r="AE175" s="31">
        <f t="shared" si="227"/>
        <v>0</v>
      </c>
      <c r="AF175" s="31">
        <f t="shared" si="228"/>
        <v>0</v>
      </c>
      <c r="AG175" s="31">
        <f t="shared" si="229"/>
        <v>0</v>
      </c>
      <c r="AH175" s="26"/>
      <c r="AI175" s="17">
        <f t="shared" si="230"/>
        <v>0</v>
      </c>
      <c r="AJ175" s="17">
        <f t="shared" si="231"/>
        <v>0</v>
      </c>
      <c r="AK175" s="17">
        <f t="shared" si="232"/>
        <v>0</v>
      </c>
      <c r="AM175" s="31">
        <v>21</v>
      </c>
      <c r="AN175" s="31">
        <f>G175*0.937131348511384</f>
        <v>0</v>
      </c>
      <c r="AO175" s="31">
        <f>G175*(1-0.937131348511384)</f>
        <v>0</v>
      </c>
      <c r="AP175" s="27" t="s">
        <v>13</v>
      </c>
      <c r="AU175" s="31">
        <f t="shared" si="233"/>
        <v>0</v>
      </c>
      <c r="AV175" s="31">
        <f t="shared" si="234"/>
        <v>0</v>
      </c>
      <c r="AW175" s="31">
        <f t="shared" si="235"/>
        <v>0</v>
      </c>
      <c r="AX175" s="32" t="s">
        <v>1175</v>
      </c>
      <c r="AY175" s="32" t="s">
        <v>1207</v>
      </c>
      <c r="AZ175" s="26" t="s">
        <v>1215</v>
      </c>
      <c r="BB175" s="31">
        <f t="shared" si="236"/>
        <v>0</v>
      </c>
      <c r="BC175" s="31">
        <f t="shared" si="237"/>
        <v>0</v>
      </c>
      <c r="BD175" s="31">
        <v>0</v>
      </c>
      <c r="BE175" s="31">
        <f t="shared" si="238"/>
        <v>0.016</v>
      </c>
      <c r="BG175" s="17">
        <f t="shared" si="239"/>
        <v>0</v>
      </c>
      <c r="BH175" s="17">
        <f t="shared" si="240"/>
        <v>0</v>
      </c>
      <c r="BI175" s="17">
        <f t="shared" si="241"/>
        <v>0</v>
      </c>
    </row>
    <row r="176" spans="1:61" ht="12.75">
      <c r="A176" s="4" t="s">
        <v>149</v>
      </c>
      <c r="B176" s="4"/>
      <c r="C176" s="4" t="s">
        <v>522</v>
      </c>
      <c r="D176" s="71" t="s">
        <v>896</v>
      </c>
      <c r="E176" s="4" t="s">
        <v>1124</v>
      </c>
      <c r="F176" s="17">
        <v>10</v>
      </c>
      <c r="G176" s="148">
        <v>0</v>
      </c>
      <c r="H176" s="17">
        <f t="shared" si="218"/>
        <v>0</v>
      </c>
      <c r="I176" s="17">
        <f t="shared" si="219"/>
        <v>0</v>
      </c>
      <c r="J176" s="17">
        <f t="shared" si="220"/>
        <v>0</v>
      </c>
      <c r="K176" s="17">
        <v>0.01401</v>
      </c>
      <c r="L176" s="17">
        <f t="shared" si="221"/>
        <v>0.1401</v>
      </c>
      <c r="Y176" s="31">
        <f t="shared" si="222"/>
        <v>0</v>
      </c>
      <c r="AA176" s="31">
        <f t="shared" si="223"/>
        <v>0</v>
      </c>
      <c r="AB176" s="31">
        <f t="shared" si="224"/>
        <v>0</v>
      </c>
      <c r="AC176" s="31">
        <f t="shared" si="225"/>
        <v>0</v>
      </c>
      <c r="AD176" s="31">
        <f t="shared" si="226"/>
        <v>0</v>
      </c>
      <c r="AE176" s="31">
        <f t="shared" si="227"/>
        <v>0</v>
      </c>
      <c r="AF176" s="31">
        <f t="shared" si="228"/>
        <v>0</v>
      </c>
      <c r="AG176" s="31">
        <f t="shared" si="229"/>
        <v>0</v>
      </c>
      <c r="AH176" s="26"/>
      <c r="AI176" s="17">
        <f t="shared" si="230"/>
        <v>0</v>
      </c>
      <c r="AJ176" s="17">
        <f t="shared" si="231"/>
        <v>0</v>
      </c>
      <c r="AK176" s="17">
        <f t="shared" si="232"/>
        <v>0</v>
      </c>
      <c r="AM176" s="31">
        <v>21</v>
      </c>
      <c r="AN176" s="31">
        <f>G176*0.863352188151235</f>
        <v>0</v>
      </c>
      <c r="AO176" s="31">
        <f>G176*(1-0.863352188151235)</f>
        <v>0</v>
      </c>
      <c r="AP176" s="27" t="s">
        <v>13</v>
      </c>
      <c r="AU176" s="31">
        <f t="shared" si="233"/>
        <v>0</v>
      </c>
      <c r="AV176" s="31">
        <f t="shared" si="234"/>
        <v>0</v>
      </c>
      <c r="AW176" s="31">
        <f t="shared" si="235"/>
        <v>0</v>
      </c>
      <c r="AX176" s="32" t="s">
        <v>1175</v>
      </c>
      <c r="AY176" s="32" t="s">
        <v>1207</v>
      </c>
      <c r="AZ176" s="26" t="s">
        <v>1215</v>
      </c>
      <c r="BB176" s="31">
        <f t="shared" si="236"/>
        <v>0</v>
      </c>
      <c r="BC176" s="31">
        <f t="shared" si="237"/>
        <v>0</v>
      </c>
      <c r="BD176" s="31">
        <v>0</v>
      </c>
      <c r="BE176" s="31">
        <f t="shared" si="238"/>
        <v>0.1401</v>
      </c>
      <c r="BG176" s="17">
        <f t="shared" si="239"/>
        <v>0</v>
      </c>
      <c r="BH176" s="17">
        <f t="shared" si="240"/>
        <v>0</v>
      </c>
      <c r="BI176" s="17">
        <f t="shared" si="241"/>
        <v>0</v>
      </c>
    </row>
    <row r="177" spans="1:61" ht="25.5">
      <c r="A177" s="4" t="s">
        <v>150</v>
      </c>
      <c r="B177" s="4"/>
      <c r="C177" s="4" t="s">
        <v>523</v>
      </c>
      <c r="D177" s="71" t="s">
        <v>897</v>
      </c>
      <c r="E177" s="4" t="s">
        <v>1124</v>
      </c>
      <c r="F177" s="17">
        <v>7</v>
      </c>
      <c r="G177" s="148">
        <v>0</v>
      </c>
      <c r="H177" s="17">
        <f t="shared" si="218"/>
        <v>0</v>
      </c>
      <c r="I177" s="17">
        <f t="shared" si="219"/>
        <v>0</v>
      </c>
      <c r="J177" s="17">
        <f t="shared" si="220"/>
        <v>0</v>
      </c>
      <c r="K177" s="17">
        <v>0.009</v>
      </c>
      <c r="L177" s="17">
        <f t="shared" si="221"/>
        <v>0.063</v>
      </c>
      <c r="Y177" s="31">
        <f t="shared" si="222"/>
        <v>0</v>
      </c>
      <c r="AA177" s="31">
        <f t="shared" si="223"/>
        <v>0</v>
      </c>
      <c r="AB177" s="31">
        <f t="shared" si="224"/>
        <v>0</v>
      </c>
      <c r="AC177" s="31">
        <f t="shared" si="225"/>
        <v>0</v>
      </c>
      <c r="AD177" s="31">
        <f t="shared" si="226"/>
        <v>0</v>
      </c>
      <c r="AE177" s="31">
        <f t="shared" si="227"/>
        <v>0</v>
      </c>
      <c r="AF177" s="31">
        <f t="shared" si="228"/>
        <v>0</v>
      </c>
      <c r="AG177" s="31">
        <f t="shared" si="229"/>
        <v>0</v>
      </c>
      <c r="AH177" s="26"/>
      <c r="AI177" s="17">
        <f t="shared" si="230"/>
        <v>0</v>
      </c>
      <c r="AJ177" s="17">
        <f t="shared" si="231"/>
        <v>0</v>
      </c>
      <c r="AK177" s="17">
        <f t="shared" si="232"/>
        <v>0</v>
      </c>
      <c r="AM177" s="31">
        <v>21</v>
      </c>
      <c r="AN177" s="31">
        <f>G177*0.799874765813746</f>
        <v>0</v>
      </c>
      <c r="AO177" s="31">
        <f>G177*(1-0.799874765813746)</f>
        <v>0</v>
      </c>
      <c r="AP177" s="27" t="s">
        <v>13</v>
      </c>
      <c r="AU177" s="31">
        <f t="shared" si="233"/>
        <v>0</v>
      </c>
      <c r="AV177" s="31">
        <f t="shared" si="234"/>
        <v>0</v>
      </c>
      <c r="AW177" s="31">
        <f t="shared" si="235"/>
        <v>0</v>
      </c>
      <c r="AX177" s="32" t="s">
        <v>1175</v>
      </c>
      <c r="AY177" s="32" t="s">
        <v>1207</v>
      </c>
      <c r="AZ177" s="26" t="s">
        <v>1215</v>
      </c>
      <c r="BB177" s="31">
        <f t="shared" si="236"/>
        <v>0</v>
      </c>
      <c r="BC177" s="31">
        <f t="shared" si="237"/>
        <v>0</v>
      </c>
      <c r="BD177" s="31">
        <v>0</v>
      </c>
      <c r="BE177" s="31">
        <f t="shared" si="238"/>
        <v>0.063</v>
      </c>
      <c r="BG177" s="17">
        <f t="shared" si="239"/>
        <v>0</v>
      </c>
      <c r="BH177" s="17">
        <f t="shared" si="240"/>
        <v>0</v>
      </c>
      <c r="BI177" s="17">
        <f t="shared" si="241"/>
        <v>0</v>
      </c>
    </row>
    <row r="178" spans="1:61" ht="12.75">
      <c r="A178" s="4" t="s">
        <v>151</v>
      </c>
      <c r="B178" s="4"/>
      <c r="C178" s="4" t="s">
        <v>524</v>
      </c>
      <c r="D178" s="71" t="s">
        <v>898</v>
      </c>
      <c r="E178" s="4" t="s">
        <v>1124</v>
      </c>
      <c r="F178" s="17">
        <v>1</v>
      </c>
      <c r="G178" s="148">
        <v>0</v>
      </c>
      <c r="H178" s="17">
        <f t="shared" si="218"/>
        <v>0</v>
      </c>
      <c r="I178" s="17">
        <f t="shared" si="219"/>
        <v>0</v>
      </c>
      <c r="J178" s="17">
        <f t="shared" si="220"/>
        <v>0</v>
      </c>
      <c r="K178" s="17">
        <v>0.00072</v>
      </c>
      <c r="L178" s="17">
        <f t="shared" si="221"/>
        <v>0.00072</v>
      </c>
      <c r="Y178" s="31">
        <f t="shared" si="222"/>
        <v>0</v>
      </c>
      <c r="AA178" s="31">
        <f t="shared" si="223"/>
        <v>0</v>
      </c>
      <c r="AB178" s="31">
        <f t="shared" si="224"/>
        <v>0</v>
      </c>
      <c r="AC178" s="31">
        <f t="shared" si="225"/>
        <v>0</v>
      </c>
      <c r="AD178" s="31">
        <f t="shared" si="226"/>
        <v>0</v>
      </c>
      <c r="AE178" s="31">
        <f t="shared" si="227"/>
        <v>0</v>
      </c>
      <c r="AF178" s="31">
        <f t="shared" si="228"/>
        <v>0</v>
      </c>
      <c r="AG178" s="31">
        <f t="shared" si="229"/>
        <v>0</v>
      </c>
      <c r="AH178" s="26"/>
      <c r="AI178" s="17">
        <f t="shared" si="230"/>
        <v>0</v>
      </c>
      <c r="AJ178" s="17">
        <f t="shared" si="231"/>
        <v>0</v>
      </c>
      <c r="AK178" s="17">
        <f t="shared" si="232"/>
        <v>0</v>
      </c>
      <c r="AM178" s="31">
        <v>21</v>
      </c>
      <c r="AN178" s="31">
        <f>G178*0.607006800904197</f>
        <v>0</v>
      </c>
      <c r="AO178" s="31">
        <f>G178*(1-0.607006800904197)</f>
        <v>0</v>
      </c>
      <c r="AP178" s="27" t="s">
        <v>13</v>
      </c>
      <c r="AU178" s="31">
        <f t="shared" si="233"/>
        <v>0</v>
      </c>
      <c r="AV178" s="31">
        <f t="shared" si="234"/>
        <v>0</v>
      </c>
      <c r="AW178" s="31">
        <f t="shared" si="235"/>
        <v>0</v>
      </c>
      <c r="AX178" s="32" t="s">
        <v>1175</v>
      </c>
      <c r="AY178" s="32" t="s">
        <v>1207</v>
      </c>
      <c r="AZ178" s="26" t="s">
        <v>1215</v>
      </c>
      <c r="BB178" s="31">
        <f t="shared" si="236"/>
        <v>0</v>
      </c>
      <c r="BC178" s="31">
        <f t="shared" si="237"/>
        <v>0</v>
      </c>
      <c r="BD178" s="31">
        <v>0</v>
      </c>
      <c r="BE178" s="31">
        <f t="shared" si="238"/>
        <v>0.00072</v>
      </c>
      <c r="BG178" s="17">
        <f t="shared" si="239"/>
        <v>0</v>
      </c>
      <c r="BH178" s="17">
        <f t="shared" si="240"/>
        <v>0</v>
      </c>
      <c r="BI178" s="17">
        <f t="shared" si="241"/>
        <v>0</v>
      </c>
    </row>
    <row r="179" spans="1:61" ht="25.5">
      <c r="A179" s="4" t="s">
        <v>152</v>
      </c>
      <c r="B179" s="4"/>
      <c r="C179" s="4" t="s">
        <v>525</v>
      </c>
      <c r="D179" s="71" t="s">
        <v>899</v>
      </c>
      <c r="E179" s="4" t="s">
        <v>1126</v>
      </c>
      <c r="F179" s="17">
        <v>5</v>
      </c>
      <c r="G179" s="148">
        <v>0</v>
      </c>
      <c r="H179" s="17">
        <f t="shared" si="218"/>
        <v>0</v>
      </c>
      <c r="I179" s="17">
        <f t="shared" si="219"/>
        <v>0</v>
      </c>
      <c r="J179" s="17">
        <f t="shared" si="220"/>
        <v>0</v>
      </c>
      <c r="K179" s="17">
        <v>0</v>
      </c>
      <c r="L179" s="17">
        <f t="shared" si="221"/>
        <v>0</v>
      </c>
      <c r="Y179" s="31">
        <f t="shared" si="222"/>
        <v>0</v>
      </c>
      <c r="AA179" s="31">
        <f t="shared" si="223"/>
        <v>0</v>
      </c>
      <c r="AB179" s="31">
        <f t="shared" si="224"/>
        <v>0</v>
      </c>
      <c r="AC179" s="31">
        <f t="shared" si="225"/>
        <v>0</v>
      </c>
      <c r="AD179" s="31">
        <f t="shared" si="226"/>
        <v>0</v>
      </c>
      <c r="AE179" s="31">
        <f t="shared" si="227"/>
        <v>0</v>
      </c>
      <c r="AF179" s="31">
        <f t="shared" si="228"/>
        <v>0</v>
      </c>
      <c r="AG179" s="31">
        <f t="shared" si="229"/>
        <v>0</v>
      </c>
      <c r="AH179" s="26"/>
      <c r="AI179" s="17">
        <f t="shared" si="230"/>
        <v>0</v>
      </c>
      <c r="AJ179" s="17">
        <f t="shared" si="231"/>
        <v>0</v>
      </c>
      <c r="AK179" s="17">
        <f t="shared" si="232"/>
        <v>0</v>
      </c>
      <c r="AM179" s="31">
        <v>21</v>
      </c>
      <c r="AN179" s="31">
        <f>G179*0.773584905660377</f>
        <v>0</v>
      </c>
      <c r="AO179" s="31">
        <f>G179*(1-0.773584905660377)</f>
        <v>0</v>
      </c>
      <c r="AP179" s="27" t="s">
        <v>13</v>
      </c>
      <c r="AU179" s="31">
        <f t="shared" si="233"/>
        <v>0</v>
      </c>
      <c r="AV179" s="31">
        <f t="shared" si="234"/>
        <v>0</v>
      </c>
      <c r="AW179" s="31">
        <f t="shared" si="235"/>
        <v>0</v>
      </c>
      <c r="AX179" s="32" t="s">
        <v>1175</v>
      </c>
      <c r="AY179" s="32" t="s">
        <v>1207</v>
      </c>
      <c r="AZ179" s="26" t="s">
        <v>1215</v>
      </c>
      <c r="BB179" s="31">
        <f t="shared" si="236"/>
        <v>0</v>
      </c>
      <c r="BC179" s="31">
        <f t="shared" si="237"/>
        <v>0</v>
      </c>
      <c r="BD179" s="31">
        <v>0</v>
      </c>
      <c r="BE179" s="31">
        <f t="shared" si="238"/>
        <v>0</v>
      </c>
      <c r="BG179" s="17">
        <f t="shared" si="239"/>
        <v>0</v>
      </c>
      <c r="BH179" s="17">
        <f t="shared" si="240"/>
        <v>0</v>
      </c>
      <c r="BI179" s="17">
        <f t="shared" si="241"/>
        <v>0</v>
      </c>
    </row>
    <row r="180" spans="1:61" ht="12.75">
      <c r="A180" s="4" t="s">
        <v>153</v>
      </c>
      <c r="B180" s="4"/>
      <c r="C180" s="4" t="s">
        <v>526</v>
      </c>
      <c r="D180" s="71" t="s">
        <v>900</v>
      </c>
      <c r="E180" s="4" t="s">
        <v>1124</v>
      </c>
      <c r="F180" s="17">
        <v>1</v>
      </c>
      <c r="G180" s="148">
        <v>0</v>
      </c>
      <c r="H180" s="17">
        <f t="shared" si="218"/>
        <v>0</v>
      </c>
      <c r="I180" s="17">
        <f t="shared" si="219"/>
        <v>0</v>
      </c>
      <c r="J180" s="17">
        <f t="shared" si="220"/>
        <v>0</v>
      </c>
      <c r="K180" s="17">
        <v>0.00176</v>
      </c>
      <c r="L180" s="17">
        <f t="shared" si="221"/>
        <v>0.00176</v>
      </c>
      <c r="Y180" s="31">
        <f t="shared" si="222"/>
        <v>0</v>
      </c>
      <c r="AA180" s="31">
        <f t="shared" si="223"/>
        <v>0</v>
      </c>
      <c r="AB180" s="31">
        <f t="shared" si="224"/>
        <v>0</v>
      </c>
      <c r="AC180" s="31">
        <f t="shared" si="225"/>
        <v>0</v>
      </c>
      <c r="AD180" s="31">
        <f t="shared" si="226"/>
        <v>0</v>
      </c>
      <c r="AE180" s="31">
        <f t="shared" si="227"/>
        <v>0</v>
      </c>
      <c r="AF180" s="31">
        <f t="shared" si="228"/>
        <v>0</v>
      </c>
      <c r="AG180" s="31">
        <f t="shared" si="229"/>
        <v>0</v>
      </c>
      <c r="AH180" s="26"/>
      <c r="AI180" s="17">
        <f t="shared" si="230"/>
        <v>0</v>
      </c>
      <c r="AJ180" s="17">
        <f t="shared" si="231"/>
        <v>0</v>
      </c>
      <c r="AK180" s="17">
        <f t="shared" si="232"/>
        <v>0</v>
      </c>
      <c r="AM180" s="31">
        <v>21</v>
      </c>
      <c r="AN180" s="31">
        <f>G180*0.0130150375744135</f>
        <v>0</v>
      </c>
      <c r="AO180" s="31">
        <f>G180*(1-0.0130150375744135)</f>
        <v>0</v>
      </c>
      <c r="AP180" s="27" t="s">
        <v>13</v>
      </c>
      <c r="AU180" s="31">
        <f t="shared" si="233"/>
        <v>0</v>
      </c>
      <c r="AV180" s="31">
        <f t="shared" si="234"/>
        <v>0</v>
      </c>
      <c r="AW180" s="31">
        <f t="shared" si="235"/>
        <v>0</v>
      </c>
      <c r="AX180" s="32" t="s">
        <v>1175</v>
      </c>
      <c r="AY180" s="32" t="s">
        <v>1207</v>
      </c>
      <c r="AZ180" s="26" t="s">
        <v>1215</v>
      </c>
      <c r="BB180" s="31">
        <f t="shared" si="236"/>
        <v>0</v>
      </c>
      <c r="BC180" s="31">
        <f t="shared" si="237"/>
        <v>0</v>
      </c>
      <c r="BD180" s="31">
        <v>0</v>
      </c>
      <c r="BE180" s="31">
        <f t="shared" si="238"/>
        <v>0.00176</v>
      </c>
      <c r="BG180" s="17">
        <f t="shared" si="239"/>
        <v>0</v>
      </c>
      <c r="BH180" s="17">
        <f t="shared" si="240"/>
        <v>0</v>
      </c>
      <c r="BI180" s="17">
        <f t="shared" si="241"/>
        <v>0</v>
      </c>
    </row>
    <row r="181" spans="1:61" ht="25.5">
      <c r="A181" s="4" t="s">
        <v>154</v>
      </c>
      <c r="B181" s="4"/>
      <c r="C181" s="4" t="s">
        <v>527</v>
      </c>
      <c r="D181" s="71" t="s">
        <v>901</v>
      </c>
      <c r="E181" s="4" t="s">
        <v>1120</v>
      </c>
      <c r="F181" s="17">
        <v>5</v>
      </c>
      <c r="G181" s="148">
        <v>0</v>
      </c>
      <c r="H181" s="17">
        <f t="shared" si="218"/>
        <v>0</v>
      </c>
      <c r="I181" s="17">
        <f t="shared" si="219"/>
        <v>0</v>
      </c>
      <c r="J181" s="17">
        <f t="shared" si="220"/>
        <v>0</v>
      </c>
      <c r="K181" s="17">
        <v>0.00012</v>
      </c>
      <c r="L181" s="17">
        <f t="shared" si="221"/>
        <v>0.0006000000000000001</v>
      </c>
      <c r="Y181" s="31">
        <f t="shared" si="222"/>
        <v>0</v>
      </c>
      <c r="AA181" s="31">
        <f t="shared" si="223"/>
        <v>0</v>
      </c>
      <c r="AB181" s="31">
        <f t="shared" si="224"/>
        <v>0</v>
      </c>
      <c r="AC181" s="31">
        <f t="shared" si="225"/>
        <v>0</v>
      </c>
      <c r="AD181" s="31">
        <f t="shared" si="226"/>
        <v>0</v>
      </c>
      <c r="AE181" s="31">
        <f t="shared" si="227"/>
        <v>0</v>
      </c>
      <c r="AF181" s="31">
        <f t="shared" si="228"/>
        <v>0</v>
      </c>
      <c r="AG181" s="31">
        <f t="shared" si="229"/>
        <v>0</v>
      </c>
      <c r="AH181" s="26"/>
      <c r="AI181" s="17">
        <f t="shared" si="230"/>
        <v>0</v>
      </c>
      <c r="AJ181" s="17">
        <f t="shared" si="231"/>
        <v>0</v>
      </c>
      <c r="AK181" s="17">
        <f t="shared" si="232"/>
        <v>0</v>
      </c>
      <c r="AM181" s="31">
        <v>21</v>
      </c>
      <c r="AN181" s="31">
        <f>G181*0.862711959363562</f>
        <v>0</v>
      </c>
      <c r="AO181" s="31">
        <f>G181*(1-0.862711959363562)</f>
        <v>0</v>
      </c>
      <c r="AP181" s="27" t="s">
        <v>13</v>
      </c>
      <c r="AU181" s="31">
        <f t="shared" si="233"/>
        <v>0</v>
      </c>
      <c r="AV181" s="31">
        <f t="shared" si="234"/>
        <v>0</v>
      </c>
      <c r="AW181" s="31">
        <f t="shared" si="235"/>
        <v>0</v>
      </c>
      <c r="AX181" s="32" t="s">
        <v>1175</v>
      </c>
      <c r="AY181" s="32" t="s">
        <v>1207</v>
      </c>
      <c r="AZ181" s="26" t="s">
        <v>1215</v>
      </c>
      <c r="BB181" s="31">
        <f t="shared" si="236"/>
        <v>0</v>
      </c>
      <c r="BC181" s="31">
        <f t="shared" si="237"/>
        <v>0</v>
      </c>
      <c r="BD181" s="31">
        <v>0</v>
      </c>
      <c r="BE181" s="31">
        <f t="shared" si="238"/>
        <v>0.0006000000000000001</v>
      </c>
      <c r="BG181" s="17">
        <f t="shared" si="239"/>
        <v>0</v>
      </c>
      <c r="BH181" s="17">
        <f t="shared" si="240"/>
        <v>0</v>
      </c>
      <c r="BI181" s="17">
        <f t="shared" si="241"/>
        <v>0</v>
      </c>
    </row>
    <row r="182" spans="1:61" ht="25.5">
      <c r="A182" s="4" t="s">
        <v>155</v>
      </c>
      <c r="B182" s="4"/>
      <c r="C182" s="4" t="s">
        <v>528</v>
      </c>
      <c r="D182" s="71" t="s">
        <v>902</v>
      </c>
      <c r="E182" s="4" t="s">
        <v>1120</v>
      </c>
      <c r="F182" s="17">
        <v>10</v>
      </c>
      <c r="G182" s="148">
        <v>0</v>
      </c>
      <c r="H182" s="17">
        <f t="shared" si="218"/>
        <v>0</v>
      </c>
      <c r="I182" s="17">
        <f t="shared" si="219"/>
        <v>0</v>
      </c>
      <c r="J182" s="17">
        <f t="shared" si="220"/>
        <v>0</v>
      </c>
      <c r="K182" s="17">
        <v>0</v>
      </c>
      <c r="L182" s="17">
        <f t="shared" si="221"/>
        <v>0</v>
      </c>
      <c r="Y182" s="31">
        <f t="shared" si="222"/>
        <v>0</v>
      </c>
      <c r="AA182" s="31">
        <f t="shared" si="223"/>
        <v>0</v>
      </c>
      <c r="AB182" s="31">
        <f t="shared" si="224"/>
        <v>0</v>
      </c>
      <c r="AC182" s="31">
        <f t="shared" si="225"/>
        <v>0</v>
      </c>
      <c r="AD182" s="31">
        <f t="shared" si="226"/>
        <v>0</v>
      </c>
      <c r="AE182" s="31">
        <f t="shared" si="227"/>
        <v>0</v>
      </c>
      <c r="AF182" s="31">
        <f t="shared" si="228"/>
        <v>0</v>
      </c>
      <c r="AG182" s="31">
        <f t="shared" si="229"/>
        <v>0</v>
      </c>
      <c r="AH182" s="26"/>
      <c r="AI182" s="17">
        <f t="shared" si="230"/>
        <v>0</v>
      </c>
      <c r="AJ182" s="17">
        <f t="shared" si="231"/>
        <v>0</v>
      </c>
      <c r="AK182" s="17">
        <f t="shared" si="232"/>
        <v>0</v>
      </c>
      <c r="AM182" s="31">
        <v>21</v>
      </c>
      <c r="AN182" s="31">
        <f>G182*0.890540676929653</f>
        <v>0</v>
      </c>
      <c r="AO182" s="31">
        <f>G182*(1-0.890540676929653)</f>
        <v>0</v>
      </c>
      <c r="AP182" s="27" t="s">
        <v>13</v>
      </c>
      <c r="AU182" s="31">
        <f t="shared" si="233"/>
        <v>0</v>
      </c>
      <c r="AV182" s="31">
        <f t="shared" si="234"/>
        <v>0</v>
      </c>
      <c r="AW182" s="31">
        <f t="shared" si="235"/>
        <v>0</v>
      </c>
      <c r="AX182" s="32" t="s">
        <v>1175</v>
      </c>
      <c r="AY182" s="32" t="s">
        <v>1207</v>
      </c>
      <c r="AZ182" s="26" t="s">
        <v>1215</v>
      </c>
      <c r="BB182" s="31">
        <f t="shared" si="236"/>
        <v>0</v>
      </c>
      <c r="BC182" s="31">
        <f t="shared" si="237"/>
        <v>0</v>
      </c>
      <c r="BD182" s="31">
        <v>0</v>
      </c>
      <c r="BE182" s="31">
        <f t="shared" si="238"/>
        <v>0</v>
      </c>
      <c r="BG182" s="17">
        <f t="shared" si="239"/>
        <v>0</v>
      </c>
      <c r="BH182" s="17">
        <f t="shared" si="240"/>
        <v>0</v>
      </c>
      <c r="BI182" s="17">
        <f t="shared" si="241"/>
        <v>0</v>
      </c>
    </row>
    <row r="183" spans="1:61" ht="25.5">
      <c r="A183" s="4" t="s">
        <v>156</v>
      </c>
      <c r="B183" s="4"/>
      <c r="C183" s="4" t="s">
        <v>529</v>
      </c>
      <c r="D183" s="71" t="s">
        <v>903</v>
      </c>
      <c r="E183" s="4" t="s">
        <v>1120</v>
      </c>
      <c r="F183" s="17">
        <v>1</v>
      </c>
      <c r="G183" s="148">
        <v>0</v>
      </c>
      <c r="H183" s="17">
        <f t="shared" si="218"/>
        <v>0</v>
      </c>
      <c r="I183" s="17">
        <f t="shared" si="219"/>
        <v>0</v>
      </c>
      <c r="J183" s="17">
        <f t="shared" si="220"/>
        <v>0</v>
      </c>
      <c r="K183" s="17">
        <v>0.00164</v>
      </c>
      <c r="L183" s="17">
        <f t="shared" si="221"/>
        <v>0.00164</v>
      </c>
      <c r="Y183" s="31">
        <f t="shared" si="222"/>
        <v>0</v>
      </c>
      <c r="AA183" s="31">
        <f t="shared" si="223"/>
        <v>0</v>
      </c>
      <c r="AB183" s="31">
        <f t="shared" si="224"/>
        <v>0</v>
      </c>
      <c r="AC183" s="31">
        <f t="shared" si="225"/>
        <v>0</v>
      </c>
      <c r="AD183" s="31">
        <f t="shared" si="226"/>
        <v>0</v>
      </c>
      <c r="AE183" s="31">
        <f t="shared" si="227"/>
        <v>0</v>
      </c>
      <c r="AF183" s="31">
        <f t="shared" si="228"/>
        <v>0</v>
      </c>
      <c r="AG183" s="31">
        <f t="shared" si="229"/>
        <v>0</v>
      </c>
      <c r="AH183" s="26"/>
      <c r="AI183" s="17">
        <f t="shared" si="230"/>
        <v>0</v>
      </c>
      <c r="AJ183" s="17">
        <f t="shared" si="231"/>
        <v>0</v>
      </c>
      <c r="AK183" s="17">
        <f t="shared" si="232"/>
        <v>0</v>
      </c>
      <c r="AM183" s="31">
        <v>21</v>
      </c>
      <c r="AN183" s="31">
        <f>G183*0.937283407370501</f>
        <v>0</v>
      </c>
      <c r="AO183" s="31">
        <f>G183*(1-0.937283407370501)</f>
        <v>0</v>
      </c>
      <c r="AP183" s="27" t="s">
        <v>13</v>
      </c>
      <c r="AU183" s="31">
        <f t="shared" si="233"/>
        <v>0</v>
      </c>
      <c r="AV183" s="31">
        <f t="shared" si="234"/>
        <v>0</v>
      </c>
      <c r="AW183" s="31">
        <f t="shared" si="235"/>
        <v>0</v>
      </c>
      <c r="AX183" s="32" t="s">
        <v>1175</v>
      </c>
      <c r="AY183" s="32" t="s">
        <v>1207</v>
      </c>
      <c r="AZ183" s="26" t="s">
        <v>1215</v>
      </c>
      <c r="BB183" s="31">
        <f t="shared" si="236"/>
        <v>0</v>
      </c>
      <c r="BC183" s="31">
        <f t="shared" si="237"/>
        <v>0</v>
      </c>
      <c r="BD183" s="31">
        <v>0</v>
      </c>
      <c r="BE183" s="31">
        <f t="shared" si="238"/>
        <v>0.00164</v>
      </c>
      <c r="BG183" s="17">
        <f t="shared" si="239"/>
        <v>0</v>
      </c>
      <c r="BH183" s="17">
        <f t="shared" si="240"/>
        <v>0</v>
      </c>
      <c r="BI183" s="17">
        <f t="shared" si="241"/>
        <v>0</v>
      </c>
    </row>
    <row r="184" spans="1:46" ht="12.75">
      <c r="A184" s="6"/>
      <c r="B184" s="13"/>
      <c r="C184" s="13" t="s">
        <v>530</v>
      </c>
      <c r="D184" s="73" t="s">
        <v>904</v>
      </c>
      <c r="E184" s="6" t="s">
        <v>6</v>
      </c>
      <c r="F184" s="6" t="s">
        <v>6</v>
      </c>
      <c r="G184" s="151" t="s">
        <v>6</v>
      </c>
      <c r="H184" s="34">
        <f>SUM(H185:H202)</f>
        <v>0</v>
      </c>
      <c r="I184" s="34">
        <f>SUM(I185:I202)</f>
        <v>0</v>
      </c>
      <c r="J184" s="34">
        <f>SUM(J185:J202)</f>
        <v>0</v>
      </c>
      <c r="K184" s="26"/>
      <c r="L184" s="34">
        <f>SUM(L185:L202)</f>
        <v>0.00315</v>
      </c>
      <c r="AH184" s="26"/>
      <c r="AR184" s="34">
        <f>SUM(AI185:AI202)</f>
        <v>0</v>
      </c>
      <c r="AS184" s="34">
        <f>SUM(AJ185:AJ202)</f>
        <v>0</v>
      </c>
      <c r="AT184" s="34">
        <f>SUM(AK185:AK202)</f>
        <v>0</v>
      </c>
    </row>
    <row r="185" spans="1:61" ht="12.75">
      <c r="A185" s="4" t="s">
        <v>157</v>
      </c>
      <c r="B185" s="4"/>
      <c r="C185" s="4" t="s">
        <v>531</v>
      </c>
      <c r="D185" s="71" t="s">
        <v>905</v>
      </c>
      <c r="E185" s="4" t="s">
        <v>1123</v>
      </c>
      <c r="F185" s="17">
        <v>31</v>
      </c>
      <c r="G185" s="148">
        <v>0</v>
      </c>
      <c r="H185" s="17">
        <f aca="true" t="shared" si="242" ref="H185:H202">F185*AN185</f>
        <v>0</v>
      </c>
      <c r="I185" s="17">
        <f aca="true" t="shared" si="243" ref="I185:I202">F185*AO185</f>
        <v>0</v>
      </c>
      <c r="J185" s="17">
        <f aca="true" t="shared" si="244" ref="J185:J202">F185*G185</f>
        <v>0</v>
      </c>
      <c r="K185" s="17">
        <v>0</v>
      </c>
      <c r="L185" s="17">
        <f aca="true" t="shared" si="245" ref="L185:L202">F185*K185</f>
        <v>0</v>
      </c>
      <c r="Y185" s="31">
        <f aca="true" t="shared" si="246" ref="Y185:Y202">IF(AP185="5",BI185,0)</f>
        <v>0</v>
      </c>
      <c r="AA185" s="31">
        <f aca="true" t="shared" si="247" ref="AA185:AA202">IF(AP185="1",BG185,0)</f>
        <v>0</v>
      </c>
      <c r="AB185" s="31">
        <f aca="true" t="shared" si="248" ref="AB185:AB202">IF(AP185="1",BH185,0)</f>
        <v>0</v>
      </c>
      <c r="AC185" s="31">
        <f aca="true" t="shared" si="249" ref="AC185:AC202">IF(AP185="7",BG185,0)</f>
        <v>0</v>
      </c>
      <c r="AD185" s="31">
        <f aca="true" t="shared" si="250" ref="AD185:AD202">IF(AP185="7",BH185,0)</f>
        <v>0</v>
      </c>
      <c r="AE185" s="31">
        <f aca="true" t="shared" si="251" ref="AE185:AE202">IF(AP185="2",BG185,0)</f>
        <v>0</v>
      </c>
      <c r="AF185" s="31">
        <f aca="true" t="shared" si="252" ref="AF185:AF202">IF(AP185="2",BH185,0)</f>
        <v>0</v>
      </c>
      <c r="AG185" s="31">
        <f aca="true" t="shared" si="253" ref="AG185:AG202">IF(AP185="0",BI185,0)</f>
        <v>0</v>
      </c>
      <c r="AH185" s="26"/>
      <c r="AI185" s="17">
        <f aca="true" t="shared" si="254" ref="AI185:AI202">IF(AM185=0,J185,0)</f>
        <v>0</v>
      </c>
      <c r="AJ185" s="17">
        <f aca="true" t="shared" si="255" ref="AJ185:AJ202">IF(AM185=15,J185,0)</f>
        <v>0</v>
      </c>
      <c r="AK185" s="17">
        <f aca="true" t="shared" si="256" ref="AK185:AK202">IF(AM185=21,J185,0)</f>
        <v>0</v>
      </c>
      <c r="AM185" s="31">
        <v>21</v>
      </c>
      <c r="AN185" s="31">
        <f>G185*0.521415270018622</f>
        <v>0</v>
      </c>
      <c r="AO185" s="31">
        <f>G185*(1-0.521415270018622)</f>
        <v>0</v>
      </c>
      <c r="AP185" s="27" t="s">
        <v>13</v>
      </c>
      <c r="AU185" s="31">
        <f aca="true" t="shared" si="257" ref="AU185:AU202">AV185+AW185</f>
        <v>0</v>
      </c>
      <c r="AV185" s="31">
        <f aca="true" t="shared" si="258" ref="AV185:AV202">F185*AN185</f>
        <v>0</v>
      </c>
      <c r="AW185" s="31">
        <f aca="true" t="shared" si="259" ref="AW185:AW202">F185*AO185</f>
        <v>0</v>
      </c>
      <c r="AX185" s="32" t="s">
        <v>1176</v>
      </c>
      <c r="AY185" s="32" t="s">
        <v>1207</v>
      </c>
      <c r="AZ185" s="26" t="s">
        <v>1215</v>
      </c>
      <c r="BB185" s="31">
        <f aca="true" t="shared" si="260" ref="BB185:BB202">AV185+AW185</f>
        <v>0</v>
      </c>
      <c r="BC185" s="31">
        <f aca="true" t="shared" si="261" ref="BC185:BC202">G185/(100-BD185)*100</f>
        <v>0</v>
      </c>
      <c r="BD185" s="31">
        <v>0</v>
      </c>
      <c r="BE185" s="31">
        <f aca="true" t="shared" si="262" ref="BE185:BE202">L185</f>
        <v>0</v>
      </c>
      <c r="BG185" s="17">
        <f aca="true" t="shared" si="263" ref="BG185:BG202">F185*AN185</f>
        <v>0</v>
      </c>
      <c r="BH185" s="17">
        <f aca="true" t="shared" si="264" ref="BH185:BH202">F185*AO185</f>
        <v>0</v>
      </c>
      <c r="BI185" s="17">
        <f aca="true" t="shared" si="265" ref="BI185:BI202">F185*G185</f>
        <v>0</v>
      </c>
    </row>
    <row r="186" spans="1:61" ht="12.75">
      <c r="A186" s="4" t="s">
        <v>158</v>
      </c>
      <c r="B186" s="4"/>
      <c r="C186" s="4" t="s">
        <v>532</v>
      </c>
      <c r="D186" s="71" t="s">
        <v>906</v>
      </c>
      <c r="E186" s="4" t="s">
        <v>1123</v>
      </c>
      <c r="F186" s="17">
        <v>7</v>
      </c>
      <c r="G186" s="148">
        <v>0</v>
      </c>
      <c r="H186" s="17">
        <f t="shared" si="242"/>
        <v>0</v>
      </c>
      <c r="I186" s="17">
        <f t="shared" si="243"/>
        <v>0</v>
      </c>
      <c r="J186" s="17">
        <f t="shared" si="244"/>
        <v>0</v>
      </c>
      <c r="K186" s="17">
        <v>0</v>
      </c>
      <c r="L186" s="17">
        <f t="shared" si="245"/>
        <v>0</v>
      </c>
      <c r="Y186" s="31">
        <f t="shared" si="246"/>
        <v>0</v>
      </c>
      <c r="AA186" s="31">
        <f t="shared" si="247"/>
        <v>0</v>
      </c>
      <c r="AB186" s="31">
        <f t="shared" si="248"/>
        <v>0</v>
      </c>
      <c r="AC186" s="31">
        <f t="shared" si="249"/>
        <v>0</v>
      </c>
      <c r="AD186" s="31">
        <f t="shared" si="250"/>
        <v>0</v>
      </c>
      <c r="AE186" s="31">
        <f t="shared" si="251"/>
        <v>0</v>
      </c>
      <c r="AF186" s="31">
        <f t="shared" si="252"/>
        <v>0</v>
      </c>
      <c r="AG186" s="31">
        <f t="shared" si="253"/>
        <v>0</v>
      </c>
      <c r="AH186" s="26"/>
      <c r="AI186" s="17">
        <f t="shared" si="254"/>
        <v>0</v>
      </c>
      <c r="AJ186" s="17">
        <f t="shared" si="255"/>
        <v>0</v>
      </c>
      <c r="AK186" s="17">
        <f t="shared" si="256"/>
        <v>0</v>
      </c>
      <c r="AM186" s="31">
        <v>21</v>
      </c>
      <c r="AN186" s="31">
        <f>G186*0.740698535695972</f>
        <v>0</v>
      </c>
      <c r="AO186" s="31">
        <f>G186*(1-0.740698535695972)</f>
        <v>0</v>
      </c>
      <c r="AP186" s="27" t="s">
        <v>13</v>
      </c>
      <c r="AU186" s="31">
        <f t="shared" si="257"/>
        <v>0</v>
      </c>
      <c r="AV186" s="31">
        <f t="shared" si="258"/>
        <v>0</v>
      </c>
      <c r="AW186" s="31">
        <f t="shared" si="259"/>
        <v>0</v>
      </c>
      <c r="AX186" s="32" t="s">
        <v>1176</v>
      </c>
      <c r="AY186" s="32" t="s">
        <v>1207</v>
      </c>
      <c r="AZ186" s="26" t="s">
        <v>1215</v>
      </c>
      <c r="BB186" s="31">
        <f t="shared" si="260"/>
        <v>0</v>
      </c>
      <c r="BC186" s="31">
        <f t="shared" si="261"/>
        <v>0</v>
      </c>
      <c r="BD186" s="31">
        <v>0</v>
      </c>
      <c r="BE186" s="31">
        <f t="shared" si="262"/>
        <v>0</v>
      </c>
      <c r="BG186" s="17">
        <f t="shared" si="263"/>
        <v>0</v>
      </c>
      <c r="BH186" s="17">
        <f t="shared" si="264"/>
        <v>0</v>
      </c>
      <c r="BI186" s="17">
        <f t="shared" si="265"/>
        <v>0</v>
      </c>
    </row>
    <row r="187" spans="1:61" ht="12.75">
      <c r="A187" s="4" t="s">
        <v>159</v>
      </c>
      <c r="B187" s="4"/>
      <c r="C187" s="4" t="s">
        <v>533</v>
      </c>
      <c r="D187" s="71" t="s">
        <v>907</v>
      </c>
      <c r="E187" s="4" t="s">
        <v>1123</v>
      </c>
      <c r="F187" s="17">
        <v>8</v>
      </c>
      <c r="G187" s="148">
        <v>0</v>
      </c>
      <c r="H187" s="17">
        <f t="shared" si="242"/>
        <v>0</v>
      </c>
      <c r="I187" s="17">
        <f t="shared" si="243"/>
        <v>0</v>
      </c>
      <c r="J187" s="17">
        <f t="shared" si="244"/>
        <v>0</v>
      </c>
      <c r="K187" s="17">
        <v>0</v>
      </c>
      <c r="L187" s="17">
        <f t="shared" si="245"/>
        <v>0</v>
      </c>
      <c r="Y187" s="31">
        <f t="shared" si="246"/>
        <v>0</v>
      </c>
      <c r="AA187" s="31">
        <f t="shared" si="247"/>
        <v>0</v>
      </c>
      <c r="AB187" s="31">
        <f t="shared" si="248"/>
        <v>0</v>
      </c>
      <c r="AC187" s="31">
        <f t="shared" si="249"/>
        <v>0</v>
      </c>
      <c r="AD187" s="31">
        <f t="shared" si="250"/>
        <v>0</v>
      </c>
      <c r="AE187" s="31">
        <f t="shared" si="251"/>
        <v>0</v>
      </c>
      <c r="AF187" s="31">
        <f t="shared" si="252"/>
        <v>0</v>
      </c>
      <c r="AG187" s="31">
        <f t="shared" si="253"/>
        <v>0</v>
      </c>
      <c r="AH187" s="26"/>
      <c r="AI187" s="17">
        <f t="shared" si="254"/>
        <v>0</v>
      </c>
      <c r="AJ187" s="17">
        <f t="shared" si="255"/>
        <v>0</v>
      </c>
      <c r="AK187" s="17">
        <f t="shared" si="256"/>
        <v>0</v>
      </c>
      <c r="AM187" s="31">
        <v>21</v>
      </c>
      <c r="AN187" s="31">
        <f>G187*0.781453503516541</f>
        <v>0</v>
      </c>
      <c r="AO187" s="31">
        <f>G187*(1-0.781453503516541)</f>
        <v>0</v>
      </c>
      <c r="AP187" s="27" t="s">
        <v>13</v>
      </c>
      <c r="AU187" s="31">
        <f t="shared" si="257"/>
        <v>0</v>
      </c>
      <c r="AV187" s="31">
        <f t="shared" si="258"/>
        <v>0</v>
      </c>
      <c r="AW187" s="31">
        <f t="shared" si="259"/>
        <v>0</v>
      </c>
      <c r="AX187" s="32" t="s">
        <v>1176</v>
      </c>
      <c r="AY187" s="32" t="s">
        <v>1207</v>
      </c>
      <c r="AZ187" s="26" t="s">
        <v>1215</v>
      </c>
      <c r="BB187" s="31">
        <f t="shared" si="260"/>
        <v>0</v>
      </c>
      <c r="BC187" s="31">
        <f t="shared" si="261"/>
        <v>0</v>
      </c>
      <c r="BD187" s="31">
        <v>0</v>
      </c>
      <c r="BE187" s="31">
        <f t="shared" si="262"/>
        <v>0</v>
      </c>
      <c r="BG187" s="17">
        <f t="shared" si="263"/>
        <v>0</v>
      </c>
      <c r="BH187" s="17">
        <f t="shared" si="264"/>
        <v>0</v>
      </c>
      <c r="BI187" s="17">
        <f t="shared" si="265"/>
        <v>0</v>
      </c>
    </row>
    <row r="188" spans="1:61" ht="12.75">
      <c r="A188" s="4" t="s">
        <v>160</v>
      </c>
      <c r="B188" s="4"/>
      <c r="C188" s="4" t="s">
        <v>534</v>
      </c>
      <c r="D188" s="71" t="s">
        <v>908</v>
      </c>
      <c r="E188" s="4" t="s">
        <v>1123</v>
      </c>
      <c r="F188" s="17">
        <v>4</v>
      </c>
      <c r="G188" s="148">
        <v>0</v>
      </c>
      <c r="H188" s="17">
        <f t="shared" si="242"/>
        <v>0</v>
      </c>
      <c r="I188" s="17">
        <f t="shared" si="243"/>
        <v>0</v>
      </c>
      <c r="J188" s="17">
        <f t="shared" si="244"/>
        <v>0</v>
      </c>
      <c r="K188" s="17">
        <v>0</v>
      </c>
      <c r="L188" s="17">
        <f t="shared" si="245"/>
        <v>0</v>
      </c>
      <c r="Y188" s="31">
        <f t="shared" si="246"/>
        <v>0</v>
      </c>
      <c r="AA188" s="31">
        <f t="shared" si="247"/>
        <v>0</v>
      </c>
      <c r="AB188" s="31">
        <f t="shared" si="248"/>
        <v>0</v>
      </c>
      <c r="AC188" s="31">
        <f t="shared" si="249"/>
        <v>0</v>
      </c>
      <c r="AD188" s="31">
        <f t="shared" si="250"/>
        <v>0</v>
      </c>
      <c r="AE188" s="31">
        <f t="shared" si="251"/>
        <v>0</v>
      </c>
      <c r="AF188" s="31">
        <f t="shared" si="252"/>
        <v>0</v>
      </c>
      <c r="AG188" s="31">
        <f t="shared" si="253"/>
        <v>0</v>
      </c>
      <c r="AH188" s="26"/>
      <c r="AI188" s="17">
        <f t="shared" si="254"/>
        <v>0</v>
      </c>
      <c r="AJ188" s="17">
        <f t="shared" si="255"/>
        <v>0</v>
      </c>
      <c r="AK188" s="17">
        <f t="shared" si="256"/>
        <v>0</v>
      </c>
      <c r="AM188" s="31">
        <v>21</v>
      </c>
      <c r="AN188" s="31">
        <f>G188*0.794827178793152</f>
        <v>0</v>
      </c>
      <c r="AO188" s="31">
        <f>G188*(1-0.794827178793152)</f>
        <v>0</v>
      </c>
      <c r="AP188" s="27" t="s">
        <v>13</v>
      </c>
      <c r="AU188" s="31">
        <f t="shared" si="257"/>
        <v>0</v>
      </c>
      <c r="AV188" s="31">
        <f t="shared" si="258"/>
        <v>0</v>
      </c>
      <c r="AW188" s="31">
        <f t="shared" si="259"/>
        <v>0</v>
      </c>
      <c r="AX188" s="32" t="s">
        <v>1176</v>
      </c>
      <c r="AY188" s="32" t="s">
        <v>1207</v>
      </c>
      <c r="AZ188" s="26" t="s">
        <v>1215</v>
      </c>
      <c r="BB188" s="31">
        <f t="shared" si="260"/>
        <v>0</v>
      </c>
      <c r="BC188" s="31">
        <f t="shared" si="261"/>
        <v>0</v>
      </c>
      <c r="BD188" s="31">
        <v>0</v>
      </c>
      <c r="BE188" s="31">
        <f t="shared" si="262"/>
        <v>0</v>
      </c>
      <c r="BG188" s="17">
        <f t="shared" si="263"/>
        <v>0</v>
      </c>
      <c r="BH188" s="17">
        <f t="shared" si="264"/>
        <v>0</v>
      </c>
      <c r="BI188" s="17">
        <f t="shared" si="265"/>
        <v>0</v>
      </c>
    </row>
    <row r="189" spans="1:61" ht="12.75">
      <c r="A189" s="4" t="s">
        <v>161</v>
      </c>
      <c r="B189" s="4"/>
      <c r="C189" s="4" t="s">
        <v>535</v>
      </c>
      <c r="D189" s="71" t="s">
        <v>909</v>
      </c>
      <c r="E189" s="4" t="s">
        <v>1120</v>
      </c>
      <c r="F189" s="17">
        <v>9</v>
      </c>
      <c r="G189" s="148">
        <v>0</v>
      </c>
      <c r="H189" s="17">
        <f t="shared" si="242"/>
        <v>0</v>
      </c>
      <c r="I189" s="17">
        <f t="shared" si="243"/>
        <v>0</v>
      </c>
      <c r="J189" s="17">
        <f t="shared" si="244"/>
        <v>0</v>
      </c>
      <c r="K189" s="17">
        <v>0</v>
      </c>
      <c r="L189" s="17">
        <f t="shared" si="245"/>
        <v>0</v>
      </c>
      <c r="Y189" s="31">
        <f t="shared" si="246"/>
        <v>0</v>
      </c>
      <c r="AA189" s="31">
        <f t="shared" si="247"/>
        <v>0</v>
      </c>
      <c r="AB189" s="31">
        <f t="shared" si="248"/>
        <v>0</v>
      </c>
      <c r="AC189" s="31">
        <f t="shared" si="249"/>
        <v>0</v>
      </c>
      <c r="AD189" s="31">
        <f t="shared" si="250"/>
        <v>0</v>
      </c>
      <c r="AE189" s="31">
        <f t="shared" si="251"/>
        <v>0</v>
      </c>
      <c r="AF189" s="31">
        <f t="shared" si="252"/>
        <v>0</v>
      </c>
      <c r="AG189" s="31">
        <f t="shared" si="253"/>
        <v>0</v>
      </c>
      <c r="AH189" s="26"/>
      <c r="AI189" s="17">
        <f t="shared" si="254"/>
        <v>0</v>
      </c>
      <c r="AJ189" s="17">
        <f t="shared" si="255"/>
        <v>0</v>
      </c>
      <c r="AK189" s="17">
        <f t="shared" si="256"/>
        <v>0</v>
      </c>
      <c r="AM189" s="31">
        <v>21</v>
      </c>
      <c r="AN189" s="31">
        <f>G189*0.227011494252874</f>
        <v>0</v>
      </c>
      <c r="AO189" s="31">
        <f>G189*(1-0.227011494252874)</f>
        <v>0</v>
      </c>
      <c r="AP189" s="27" t="s">
        <v>13</v>
      </c>
      <c r="AU189" s="31">
        <f t="shared" si="257"/>
        <v>0</v>
      </c>
      <c r="AV189" s="31">
        <f t="shared" si="258"/>
        <v>0</v>
      </c>
      <c r="AW189" s="31">
        <f t="shared" si="259"/>
        <v>0</v>
      </c>
      <c r="AX189" s="32" t="s">
        <v>1176</v>
      </c>
      <c r="AY189" s="32" t="s">
        <v>1207</v>
      </c>
      <c r="AZ189" s="26" t="s">
        <v>1215</v>
      </c>
      <c r="BB189" s="31">
        <f t="shared" si="260"/>
        <v>0</v>
      </c>
      <c r="BC189" s="31">
        <f t="shared" si="261"/>
        <v>0</v>
      </c>
      <c r="BD189" s="31">
        <v>0</v>
      </c>
      <c r="BE189" s="31">
        <f t="shared" si="262"/>
        <v>0</v>
      </c>
      <c r="BG189" s="17">
        <f t="shared" si="263"/>
        <v>0</v>
      </c>
      <c r="BH189" s="17">
        <f t="shared" si="264"/>
        <v>0</v>
      </c>
      <c r="BI189" s="17">
        <f t="shared" si="265"/>
        <v>0</v>
      </c>
    </row>
    <row r="190" spans="1:61" ht="12.75">
      <c r="A190" s="4" t="s">
        <v>162</v>
      </c>
      <c r="B190" s="4"/>
      <c r="C190" s="4" t="s">
        <v>536</v>
      </c>
      <c r="D190" s="71" t="s">
        <v>910</v>
      </c>
      <c r="E190" s="4" t="s">
        <v>1121</v>
      </c>
      <c r="F190" s="17">
        <v>4</v>
      </c>
      <c r="G190" s="148">
        <v>0</v>
      </c>
      <c r="H190" s="17">
        <f t="shared" si="242"/>
        <v>0</v>
      </c>
      <c r="I190" s="17">
        <f t="shared" si="243"/>
        <v>0</v>
      </c>
      <c r="J190" s="17">
        <f t="shared" si="244"/>
        <v>0</v>
      </c>
      <c r="K190" s="17">
        <v>0</v>
      </c>
      <c r="L190" s="17">
        <f t="shared" si="245"/>
        <v>0</v>
      </c>
      <c r="Y190" s="31">
        <f t="shared" si="246"/>
        <v>0</v>
      </c>
      <c r="AA190" s="31">
        <f t="shared" si="247"/>
        <v>0</v>
      </c>
      <c r="AB190" s="31">
        <f t="shared" si="248"/>
        <v>0</v>
      </c>
      <c r="AC190" s="31">
        <f t="shared" si="249"/>
        <v>0</v>
      </c>
      <c r="AD190" s="31">
        <f t="shared" si="250"/>
        <v>0</v>
      </c>
      <c r="AE190" s="31">
        <f t="shared" si="251"/>
        <v>0</v>
      </c>
      <c r="AF190" s="31">
        <f t="shared" si="252"/>
        <v>0</v>
      </c>
      <c r="AG190" s="31">
        <f t="shared" si="253"/>
        <v>0</v>
      </c>
      <c r="AH190" s="26"/>
      <c r="AI190" s="17">
        <f t="shared" si="254"/>
        <v>0</v>
      </c>
      <c r="AJ190" s="17">
        <f t="shared" si="255"/>
        <v>0</v>
      </c>
      <c r="AK190" s="17">
        <f t="shared" si="256"/>
        <v>0</v>
      </c>
      <c r="AM190" s="31">
        <v>21</v>
      </c>
      <c r="AN190" s="31">
        <f>G190*0.28415422331179</f>
        <v>0</v>
      </c>
      <c r="AO190" s="31">
        <f>G190*(1-0.28415422331179)</f>
        <v>0</v>
      </c>
      <c r="AP190" s="27" t="s">
        <v>8</v>
      </c>
      <c r="AU190" s="31">
        <f t="shared" si="257"/>
        <v>0</v>
      </c>
      <c r="AV190" s="31">
        <f t="shared" si="258"/>
        <v>0</v>
      </c>
      <c r="AW190" s="31">
        <f t="shared" si="259"/>
        <v>0</v>
      </c>
      <c r="AX190" s="32" t="s">
        <v>1176</v>
      </c>
      <c r="AY190" s="32" t="s">
        <v>1207</v>
      </c>
      <c r="AZ190" s="26" t="s">
        <v>1215</v>
      </c>
      <c r="BB190" s="31">
        <f t="shared" si="260"/>
        <v>0</v>
      </c>
      <c r="BC190" s="31">
        <f t="shared" si="261"/>
        <v>0</v>
      </c>
      <c r="BD190" s="31">
        <v>0</v>
      </c>
      <c r="BE190" s="31">
        <f t="shared" si="262"/>
        <v>0</v>
      </c>
      <c r="BG190" s="17">
        <f t="shared" si="263"/>
        <v>0</v>
      </c>
      <c r="BH190" s="17">
        <f t="shared" si="264"/>
        <v>0</v>
      </c>
      <c r="BI190" s="17">
        <f t="shared" si="265"/>
        <v>0</v>
      </c>
    </row>
    <row r="191" spans="1:61" ht="25.5">
      <c r="A191" s="4" t="s">
        <v>163</v>
      </c>
      <c r="B191" s="4"/>
      <c r="C191" s="4" t="s">
        <v>537</v>
      </c>
      <c r="D191" s="71" t="s">
        <v>911</v>
      </c>
      <c r="E191" s="4" t="s">
        <v>1126</v>
      </c>
      <c r="F191" s="17">
        <v>1</v>
      </c>
      <c r="G191" s="148">
        <v>0</v>
      </c>
      <c r="H191" s="17">
        <f t="shared" si="242"/>
        <v>0</v>
      </c>
      <c r="I191" s="17">
        <f t="shared" si="243"/>
        <v>0</v>
      </c>
      <c r="J191" s="17">
        <f t="shared" si="244"/>
        <v>0</v>
      </c>
      <c r="K191" s="17">
        <v>0</v>
      </c>
      <c r="L191" s="17">
        <f t="shared" si="245"/>
        <v>0</v>
      </c>
      <c r="Y191" s="31">
        <f t="shared" si="246"/>
        <v>0</v>
      </c>
      <c r="AA191" s="31">
        <f t="shared" si="247"/>
        <v>0</v>
      </c>
      <c r="AB191" s="31">
        <f t="shared" si="248"/>
        <v>0</v>
      </c>
      <c r="AC191" s="31">
        <f t="shared" si="249"/>
        <v>0</v>
      </c>
      <c r="AD191" s="31">
        <f t="shared" si="250"/>
        <v>0</v>
      </c>
      <c r="AE191" s="31">
        <f t="shared" si="251"/>
        <v>0</v>
      </c>
      <c r="AF191" s="31">
        <f t="shared" si="252"/>
        <v>0</v>
      </c>
      <c r="AG191" s="31">
        <f t="shared" si="253"/>
        <v>0</v>
      </c>
      <c r="AH191" s="26"/>
      <c r="AI191" s="17">
        <f t="shared" si="254"/>
        <v>0</v>
      </c>
      <c r="AJ191" s="17">
        <f t="shared" si="255"/>
        <v>0</v>
      </c>
      <c r="AK191" s="17">
        <f t="shared" si="256"/>
        <v>0</v>
      </c>
      <c r="AM191" s="31">
        <v>21</v>
      </c>
      <c r="AN191" s="31">
        <f>G191*0.800977603433935</f>
        <v>0</v>
      </c>
      <c r="AO191" s="31">
        <f>G191*(1-0.800977603433935)</f>
        <v>0</v>
      </c>
      <c r="AP191" s="27" t="s">
        <v>13</v>
      </c>
      <c r="AU191" s="31">
        <f t="shared" si="257"/>
        <v>0</v>
      </c>
      <c r="AV191" s="31">
        <f t="shared" si="258"/>
        <v>0</v>
      </c>
      <c r="AW191" s="31">
        <f t="shared" si="259"/>
        <v>0</v>
      </c>
      <c r="AX191" s="32" t="s">
        <v>1176</v>
      </c>
      <c r="AY191" s="32" t="s">
        <v>1207</v>
      </c>
      <c r="AZ191" s="26" t="s">
        <v>1215</v>
      </c>
      <c r="BB191" s="31">
        <f t="shared" si="260"/>
        <v>0</v>
      </c>
      <c r="BC191" s="31">
        <f t="shared" si="261"/>
        <v>0</v>
      </c>
      <c r="BD191" s="31">
        <v>0</v>
      </c>
      <c r="BE191" s="31">
        <f t="shared" si="262"/>
        <v>0</v>
      </c>
      <c r="BG191" s="17">
        <f t="shared" si="263"/>
        <v>0</v>
      </c>
      <c r="BH191" s="17">
        <f t="shared" si="264"/>
        <v>0</v>
      </c>
      <c r="BI191" s="17">
        <f t="shared" si="265"/>
        <v>0</v>
      </c>
    </row>
    <row r="192" spans="1:61" ht="25.5">
      <c r="A192" s="4" t="s">
        <v>164</v>
      </c>
      <c r="B192" s="4"/>
      <c r="C192" s="4" t="s">
        <v>538</v>
      </c>
      <c r="D192" s="71" t="s">
        <v>912</v>
      </c>
      <c r="E192" s="4" t="s">
        <v>1126</v>
      </c>
      <c r="F192" s="17">
        <v>1</v>
      </c>
      <c r="G192" s="148">
        <v>0</v>
      </c>
      <c r="H192" s="17">
        <f t="shared" si="242"/>
        <v>0</v>
      </c>
      <c r="I192" s="17">
        <f t="shared" si="243"/>
        <v>0</v>
      </c>
      <c r="J192" s="17">
        <f t="shared" si="244"/>
        <v>0</v>
      </c>
      <c r="K192" s="17">
        <v>0</v>
      </c>
      <c r="L192" s="17">
        <f t="shared" si="245"/>
        <v>0</v>
      </c>
      <c r="Y192" s="31">
        <f t="shared" si="246"/>
        <v>0</v>
      </c>
      <c r="AA192" s="31">
        <f t="shared" si="247"/>
        <v>0</v>
      </c>
      <c r="AB192" s="31">
        <f t="shared" si="248"/>
        <v>0</v>
      </c>
      <c r="AC192" s="31">
        <f t="shared" si="249"/>
        <v>0</v>
      </c>
      <c r="AD192" s="31">
        <f t="shared" si="250"/>
        <v>0</v>
      </c>
      <c r="AE192" s="31">
        <f t="shared" si="251"/>
        <v>0</v>
      </c>
      <c r="AF192" s="31">
        <f t="shared" si="252"/>
        <v>0</v>
      </c>
      <c r="AG192" s="31">
        <f t="shared" si="253"/>
        <v>0</v>
      </c>
      <c r="AH192" s="26"/>
      <c r="AI192" s="17">
        <f t="shared" si="254"/>
        <v>0</v>
      </c>
      <c r="AJ192" s="17">
        <f t="shared" si="255"/>
        <v>0</v>
      </c>
      <c r="AK192" s="17">
        <f t="shared" si="256"/>
        <v>0</v>
      </c>
      <c r="AM192" s="31">
        <v>21</v>
      </c>
      <c r="AN192" s="31">
        <f>G192*0.824070666666667</f>
        <v>0</v>
      </c>
      <c r="AO192" s="31">
        <f>G192*(1-0.824070666666667)</f>
        <v>0</v>
      </c>
      <c r="AP192" s="27" t="s">
        <v>13</v>
      </c>
      <c r="AU192" s="31">
        <f t="shared" si="257"/>
        <v>0</v>
      </c>
      <c r="AV192" s="31">
        <f t="shared" si="258"/>
        <v>0</v>
      </c>
      <c r="AW192" s="31">
        <f t="shared" si="259"/>
        <v>0</v>
      </c>
      <c r="AX192" s="32" t="s">
        <v>1176</v>
      </c>
      <c r="AY192" s="32" t="s">
        <v>1207</v>
      </c>
      <c r="AZ192" s="26" t="s">
        <v>1215</v>
      </c>
      <c r="BB192" s="31">
        <f t="shared" si="260"/>
        <v>0</v>
      </c>
      <c r="BC192" s="31">
        <f t="shared" si="261"/>
        <v>0</v>
      </c>
      <c r="BD192" s="31">
        <v>0</v>
      </c>
      <c r="BE192" s="31">
        <f t="shared" si="262"/>
        <v>0</v>
      </c>
      <c r="BG192" s="17">
        <f t="shared" si="263"/>
        <v>0</v>
      </c>
      <c r="BH192" s="17">
        <f t="shared" si="264"/>
        <v>0</v>
      </c>
      <c r="BI192" s="17">
        <f t="shared" si="265"/>
        <v>0</v>
      </c>
    </row>
    <row r="193" spans="1:61" ht="12.75">
      <c r="A193" s="4" t="s">
        <v>165</v>
      </c>
      <c r="B193" s="4"/>
      <c r="C193" s="4" t="s">
        <v>539</v>
      </c>
      <c r="D193" s="71" t="s">
        <v>913</v>
      </c>
      <c r="E193" s="4" t="s">
        <v>1120</v>
      </c>
      <c r="F193" s="17">
        <v>1</v>
      </c>
      <c r="G193" s="148">
        <v>0</v>
      </c>
      <c r="H193" s="17">
        <f t="shared" si="242"/>
        <v>0</v>
      </c>
      <c r="I193" s="17">
        <f t="shared" si="243"/>
        <v>0</v>
      </c>
      <c r="J193" s="17">
        <f t="shared" si="244"/>
        <v>0</v>
      </c>
      <c r="K193" s="17">
        <v>0</v>
      </c>
      <c r="L193" s="17">
        <f t="shared" si="245"/>
        <v>0</v>
      </c>
      <c r="Y193" s="31">
        <f t="shared" si="246"/>
        <v>0</v>
      </c>
      <c r="AA193" s="31">
        <f t="shared" si="247"/>
        <v>0</v>
      </c>
      <c r="AB193" s="31">
        <f t="shared" si="248"/>
        <v>0</v>
      </c>
      <c r="AC193" s="31">
        <f t="shared" si="249"/>
        <v>0</v>
      </c>
      <c r="AD193" s="31">
        <f t="shared" si="250"/>
        <v>0</v>
      </c>
      <c r="AE193" s="31">
        <f t="shared" si="251"/>
        <v>0</v>
      </c>
      <c r="AF193" s="31">
        <f t="shared" si="252"/>
        <v>0</v>
      </c>
      <c r="AG193" s="31">
        <f t="shared" si="253"/>
        <v>0</v>
      </c>
      <c r="AH193" s="26"/>
      <c r="AI193" s="17">
        <f t="shared" si="254"/>
        <v>0</v>
      </c>
      <c r="AJ193" s="17">
        <f t="shared" si="255"/>
        <v>0</v>
      </c>
      <c r="AK193" s="17">
        <f t="shared" si="256"/>
        <v>0</v>
      </c>
      <c r="AM193" s="31">
        <v>21</v>
      </c>
      <c r="AN193" s="31">
        <f>G193*0.668759991592732</f>
        <v>0</v>
      </c>
      <c r="AO193" s="31">
        <f>G193*(1-0.668759991592732)</f>
        <v>0</v>
      </c>
      <c r="AP193" s="27" t="s">
        <v>13</v>
      </c>
      <c r="AU193" s="31">
        <f t="shared" si="257"/>
        <v>0</v>
      </c>
      <c r="AV193" s="31">
        <f t="shared" si="258"/>
        <v>0</v>
      </c>
      <c r="AW193" s="31">
        <f t="shared" si="259"/>
        <v>0</v>
      </c>
      <c r="AX193" s="32" t="s">
        <v>1176</v>
      </c>
      <c r="AY193" s="32" t="s">
        <v>1207</v>
      </c>
      <c r="AZ193" s="26" t="s">
        <v>1215</v>
      </c>
      <c r="BB193" s="31">
        <f t="shared" si="260"/>
        <v>0</v>
      </c>
      <c r="BC193" s="31">
        <f t="shared" si="261"/>
        <v>0</v>
      </c>
      <c r="BD193" s="31">
        <v>0</v>
      </c>
      <c r="BE193" s="31">
        <f t="shared" si="262"/>
        <v>0</v>
      </c>
      <c r="BG193" s="17">
        <f t="shared" si="263"/>
        <v>0</v>
      </c>
      <c r="BH193" s="17">
        <f t="shared" si="264"/>
        <v>0</v>
      </c>
      <c r="BI193" s="17">
        <f t="shared" si="265"/>
        <v>0</v>
      </c>
    </row>
    <row r="194" spans="1:61" ht="12.75">
      <c r="A194" s="4" t="s">
        <v>166</v>
      </c>
      <c r="B194" s="4"/>
      <c r="C194" s="4" t="s">
        <v>540</v>
      </c>
      <c r="D194" s="71" t="s">
        <v>914</v>
      </c>
      <c r="E194" s="4" t="s">
        <v>1120</v>
      </c>
      <c r="F194" s="17">
        <v>1</v>
      </c>
      <c r="G194" s="148">
        <v>0</v>
      </c>
      <c r="H194" s="17">
        <f t="shared" si="242"/>
        <v>0</v>
      </c>
      <c r="I194" s="17">
        <f t="shared" si="243"/>
        <v>0</v>
      </c>
      <c r="J194" s="17">
        <f t="shared" si="244"/>
        <v>0</v>
      </c>
      <c r="K194" s="17">
        <v>0</v>
      </c>
      <c r="L194" s="17">
        <f t="shared" si="245"/>
        <v>0</v>
      </c>
      <c r="Y194" s="31">
        <f t="shared" si="246"/>
        <v>0</v>
      </c>
      <c r="AA194" s="31">
        <f t="shared" si="247"/>
        <v>0</v>
      </c>
      <c r="AB194" s="31">
        <f t="shared" si="248"/>
        <v>0</v>
      </c>
      <c r="AC194" s="31">
        <f t="shared" si="249"/>
        <v>0</v>
      </c>
      <c r="AD194" s="31">
        <f t="shared" si="250"/>
        <v>0</v>
      </c>
      <c r="AE194" s="31">
        <f t="shared" si="251"/>
        <v>0</v>
      </c>
      <c r="AF194" s="31">
        <f t="shared" si="252"/>
        <v>0</v>
      </c>
      <c r="AG194" s="31">
        <f t="shared" si="253"/>
        <v>0</v>
      </c>
      <c r="AH194" s="26"/>
      <c r="AI194" s="17">
        <f t="shared" si="254"/>
        <v>0</v>
      </c>
      <c r="AJ194" s="17">
        <f t="shared" si="255"/>
        <v>0</v>
      </c>
      <c r="AK194" s="17">
        <f t="shared" si="256"/>
        <v>0</v>
      </c>
      <c r="AM194" s="31">
        <v>21</v>
      </c>
      <c r="AN194" s="31">
        <f>G194*0.663400363737565</f>
        <v>0</v>
      </c>
      <c r="AO194" s="31">
        <f>G194*(1-0.663400363737565)</f>
        <v>0</v>
      </c>
      <c r="AP194" s="27" t="s">
        <v>13</v>
      </c>
      <c r="AU194" s="31">
        <f t="shared" si="257"/>
        <v>0</v>
      </c>
      <c r="AV194" s="31">
        <f t="shared" si="258"/>
        <v>0</v>
      </c>
      <c r="AW194" s="31">
        <f t="shared" si="259"/>
        <v>0</v>
      </c>
      <c r="AX194" s="32" t="s">
        <v>1176</v>
      </c>
      <c r="AY194" s="32" t="s">
        <v>1207</v>
      </c>
      <c r="AZ194" s="26" t="s">
        <v>1215</v>
      </c>
      <c r="BB194" s="31">
        <f t="shared" si="260"/>
        <v>0</v>
      </c>
      <c r="BC194" s="31">
        <f t="shared" si="261"/>
        <v>0</v>
      </c>
      <c r="BD194" s="31">
        <v>0</v>
      </c>
      <c r="BE194" s="31">
        <f t="shared" si="262"/>
        <v>0</v>
      </c>
      <c r="BG194" s="17">
        <f t="shared" si="263"/>
        <v>0</v>
      </c>
      <c r="BH194" s="17">
        <f t="shared" si="264"/>
        <v>0</v>
      </c>
      <c r="BI194" s="17">
        <f t="shared" si="265"/>
        <v>0</v>
      </c>
    </row>
    <row r="195" spans="1:61" ht="12.75">
      <c r="A195" s="4" t="s">
        <v>167</v>
      </c>
      <c r="B195" s="4"/>
      <c r="C195" s="4" t="s">
        <v>541</v>
      </c>
      <c r="D195" s="71" t="s">
        <v>915</v>
      </c>
      <c r="E195" s="4" t="s">
        <v>1120</v>
      </c>
      <c r="F195" s="17">
        <v>3</v>
      </c>
      <c r="G195" s="148">
        <v>0</v>
      </c>
      <c r="H195" s="17">
        <f t="shared" si="242"/>
        <v>0</v>
      </c>
      <c r="I195" s="17">
        <f t="shared" si="243"/>
        <v>0</v>
      </c>
      <c r="J195" s="17">
        <f t="shared" si="244"/>
        <v>0</v>
      </c>
      <c r="K195" s="17">
        <v>0</v>
      </c>
      <c r="L195" s="17">
        <f t="shared" si="245"/>
        <v>0</v>
      </c>
      <c r="Y195" s="31">
        <f t="shared" si="246"/>
        <v>0</v>
      </c>
      <c r="AA195" s="31">
        <f t="shared" si="247"/>
        <v>0</v>
      </c>
      <c r="AB195" s="31">
        <f t="shared" si="248"/>
        <v>0</v>
      </c>
      <c r="AC195" s="31">
        <f t="shared" si="249"/>
        <v>0</v>
      </c>
      <c r="AD195" s="31">
        <f t="shared" si="250"/>
        <v>0</v>
      </c>
      <c r="AE195" s="31">
        <f t="shared" si="251"/>
        <v>0</v>
      </c>
      <c r="AF195" s="31">
        <f t="shared" si="252"/>
        <v>0</v>
      </c>
      <c r="AG195" s="31">
        <f t="shared" si="253"/>
        <v>0</v>
      </c>
      <c r="AH195" s="26"/>
      <c r="AI195" s="17">
        <f t="shared" si="254"/>
        <v>0</v>
      </c>
      <c r="AJ195" s="17">
        <f t="shared" si="255"/>
        <v>0</v>
      </c>
      <c r="AK195" s="17">
        <f t="shared" si="256"/>
        <v>0</v>
      </c>
      <c r="AM195" s="31">
        <v>21</v>
      </c>
      <c r="AN195" s="31">
        <f>G195*0.633771574640687</f>
        <v>0</v>
      </c>
      <c r="AO195" s="31">
        <f>G195*(1-0.633771574640687)</f>
        <v>0</v>
      </c>
      <c r="AP195" s="27" t="s">
        <v>13</v>
      </c>
      <c r="AU195" s="31">
        <f t="shared" si="257"/>
        <v>0</v>
      </c>
      <c r="AV195" s="31">
        <f t="shared" si="258"/>
        <v>0</v>
      </c>
      <c r="AW195" s="31">
        <f t="shared" si="259"/>
        <v>0</v>
      </c>
      <c r="AX195" s="32" t="s">
        <v>1176</v>
      </c>
      <c r="AY195" s="32" t="s">
        <v>1207</v>
      </c>
      <c r="AZ195" s="26" t="s">
        <v>1215</v>
      </c>
      <c r="BB195" s="31">
        <f t="shared" si="260"/>
        <v>0</v>
      </c>
      <c r="BC195" s="31">
        <f t="shared" si="261"/>
        <v>0</v>
      </c>
      <c r="BD195" s="31">
        <v>0</v>
      </c>
      <c r="BE195" s="31">
        <f t="shared" si="262"/>
        <v>0</v>
      </c>
      <c r="BG195" s="17">
        <f t="shared" si="263"/>
        <v>0</v>
      </c>
      <c r="BH195" s="17">
        <f t="shared" si="264"/>
        <v>0</v>
      </c>
      <c r="BI195" s="17">
        <f t="shared" si="265"/>
        <v>0</v>
      </c>
    </row>
    <row r="196" spans="1:61" ht="12.75">
      <c r="A196" s="4" t="s">
        <v>168</v>
      </c>
      <c r="B196" s="4"/>
      <c r="C196" s="4" t="s">
        <v>542</v>
      </c>
      <c r="D196" s="71" t="s">
        <v>916</v>
      </c>
      <c r="E196" s="4" t="s">
        <v>1121</v>
      </c>
      <c r="F196" s="17">
        <v>3</v>
      </c>
      <c r="G196" s="148">
        <v>0</v>
      </c>
      <c r="H196" s="17">
        <f t="shared" si="242"/>
        <v>0</v>
      </c>
      <c r="I196" s="17">
        <f t="shared" si="243"/>
        <v>0</v>
      </c>
      <c r="J196" s="17">
        <f t="shared" si="244"/>
        <v>0</v>
      </c>
      <c r="K196" s="17">
        <v>0.00105</v>
      </c>
      <c r="L196" s="17">
        <f t="shared" si="245"/>
        <v>0.00315</v>
      </c>
      <c r="Y196" s="31">
        <f t="shared" si="246"/>
        <v>0</v>
      </c>
      <c r="AA196" s="31">
        <f t="shared" si="247"/>
        <v>0</v>
      </c>
      <c r="AB196" s="31">
        <f t="shared" si="248"/>
        <v>0</v>
      </c>
      <c r="AC196" s="31">
        <f t="shared" si="249"/>
        <v>0</v>
      </c>
      <c r="AD196" s="31">
        <f t="shared" si="250"/>
        <v>0</v>
      </c>
      <c r="AE196" s="31">
        <f t="shared" si="251"/>
        <v>0</v>
      </c>
      <c r="AF196" s="31">
        <f t="shared" si="252"/>
        <v>0</v>
      </c>
      <c r="AG196" s="31">
        <f t="shared" si="253"/>
        <v>0</v>
      </c>
      <c r="AH196" s="26"/>
      <c r="AI196" s="17">
        <f t="shared" si="254"/>
        <v>0</v>
      </c>
      <c r="AJ196" s="17">
        <f t="shared" si="255"/>
        <v>0</v>
      </c>
      <c r="AK196" s="17">
        <f t="shared" si="256"/>
        <v>0</v>
      </c>
      <c r="AM196" s="31">
        <v>21</v>
      </c>
      <c r="AN196" s="31">
        <f>G196*0.466981650368091</f>
        <v>0</v>
      </c>
      <c r="AO196" s="31">
        <f>G196*(1-0.466981650368091)</f>
        <v>0</v>
      </c>
      <c r="AP196" s="27" t="s">
        <v>13</v>
      </c>
      <c r="AU196" s="31">
        <f t="shared" si="257"/>
        <v>0</v>
      </c>
      <c r="AV196" s="31">
        <f t="shared" si="258"/>
        <v>0</v>
      </c>
      <c r="AW196" s="31">
        <f t="shared" si="259"/>
        <v>0</v>
      </c>
      <c r="AX196" s="32" t="s">
        <v>1176</v>
      </c>
      <c r="AY196" s="32" t="s">
        <v>1207</v>
      </c>
      <c r="AZ196" s="26" t="s">
        <v>1215</v>
      </c>
      <c r="BB196" s="31">
        <f t="shared" si="260"/>
        <v>0</v>
      </c>
      <c r="BC196" s="31">
        <f t="shared" si="261"/>
        <v>0</v>
      </c>
      <c r="BD196" s="31">
        <v>0</v>
      </c>
      <c r="BE196" s="31">
        <f t="shared" si="262"/>
        <v>0.00315</v>
      </c>
      <c r="BG196" s="17">
        <f t="shared" si="263"/>
        <v>0</v>
      </c>
      <c r="BH196" s="17">
        <f t="shared" si="264"/>
        <v>0</v>
      </c>
      <c r="BI196" s="17">
        <f t="shared" si="265"/>
        <v>0</v>
      </c>
    </row>
    <row r="197" spans="1:61" ht="25.5">
      <c r="A197" s="4" t="s">
        <v>169</v>
      </c>
      <c r="B197" s="4"/>
      <c r="C197" s="4" t="s">
        <v>543</v>
      </c>
      <c r="D197" s="71" t="s">
        <v>917</v>
      </c>
      <c r="E197" s="4" t="s">
        <v>1126</v>
      </c>
      <c r="F197" s="17">
        <v>1</v>
      </c>
      <c r="G197" s="148">
        <v>0</v>
      </c>
      <c r="H197" s="17">
        <f t="shared" si="242"/>
        <v>0</v>
      </c>
      <c r="I197" s="17">
        <f t="shared" si="243"/>
        <v>0</v>
      </c>
      <c r="J197" s="17">
        <f t="shared" si="244"/>
        <v>0</v>
      </c>
      <c r="K197" s="17">
        <v>0</v>
      </c>
      <c r="L197" s="17">
        <f t="shared" si="245"/>
        <v>0</v>
      </c>
      <c r="Y197" s="31">
        <f t="shared" si="246"/>
        <v>0</v>
      </c>
      <c r="AA197" s="31">
        <f t="shared" si="247"/>
        <v>0</v>
      </c>
      <c r="AB197" s="31">
        <f t="shared" si="248"/>
        <v>0</v>
      </c>
      <c r="AC197" s="31">
        <f t="shared" si="249"/>
        <v>0</v>
      </c>
      <c r="AD197" s="31">
        <f t="shared" si="250"/>
        <v>0</v>
      </c>
      <c r="AE197" s="31">
        <f t="shared" si="251"/>
        <v>0</v>
      </c>
      <c r="AF197" s="31">
        <f t="shared" si="252"/>
        <v>0</v>
      </c>
      <c r="AG197" s="31">
        <f t="shared" si="253"/>
        <v>0</v>
      </c>
      <c r="AH197" s="26"/>
      <c r="AI197" s="17">
        <f t="shared" si="254"/>
        <v>0</v>
      </c>
      <c r="AJ197" s="17">
        <f t="shared" si="255"/>
        <v>0</v>
      </c>
      <c r="AK197" s="17">
        <f t="shared" si="256"/>
        <v>0</v>
      </c>
      <c r="AM197" s="31">
        <v>21</v>
      </c>
      <c r="AN197" s="31">
        <f>G197*0.908547409283461</f>
        <v>0</v>
      </c>
      <c r="AO197" s="31">
        <f>G197*(1-0.908547409283461)</f>
        <v>0</v>
      </c>
      <c r="AP197" s="27" t="s">
        <v>13</v>
      </c>
      <c r="AU197" s="31">
        <f t="shared" si="257"/>
        <v>0</v>
      </c>
      <c r="AV197" s="31">
        <f t="shared" si="258"/>
        <v>0</v>
      </c>
      <c r="AW197" s="31">
        <f t="shared" si="259"/>
        <v>0</v>
      </c>
      <c r="AX197" s="32" t="s">
        <v>1176</v>
      </c>
      <c r="AY197" s="32" t="s">
        <v>1207</v>
      </c>
      <c r="AZ197" s="26" t="s">
        <v>1215</v>
      </c>
      <c r="BB197" s="31">
        <f t="shared" si="260"/>
        <v>0</v>
      </c>
      <c r="BC197" s="31">
        <f t="shared" si="261"/>
        <v>0</v>
      </c>
      <c r="BD197" s="31">
        <v>0</v>
      </c>
      <c r="BE197" s="31">
        <f t="shared" si="262"/>
        <v>0</v>
      </c>
      <c r="BG197" s="17">
        <f t="shared" si="263"/>
        <v>0</v>
      </c>
      <c r="BH197" s="17">
        <f t="shared" si="264"/>
        <v>0</v>
      </c>
      <c r="BI197" s="17">
        <f t="shared" si="265"/>
        <v>0</v>
      </c>
    </row>
    <row r="198" spans="1:61" ht="25.5">
      <c r="A198" s="4" t="s">
        <v>170</v>
      </c>
      <c r="B198" s="4"/>
      <c r="C198" s="4" t="s">
        <v>544</v>
      </c>
      <c r="D198" s="71" t="s">
        <v>918</v>
      </c>
      <c r="E198" s="4" t="s">
        <v>1120</v>
      </c>
      <c r="F198" s="17">
        <v>12</v>
      </c>
      <c r="G198" s="148">
        <v>0</v>
      </c>
      <c r="H198" s="17">
        <f t="shared" si="242"/>
        <v>0</v>
      </c>
      <c r="I198" s="17">
        <f t="shared" si="243"/>
        <v>0</v>
      </c>
      <c r="J198" s="17">
        <f t="shared" si="244"/>
        <v>0</v>
      </c>
      <c r="K198" s="17">
        <v>0</v>
      </c>
      <c r="L198" s="17">
        <f t="shared" si="245"/>
        <v>0</v>
      </c>
      <c r="Y198" s="31">
        <f t="shared" si="246"/>
        <v>0</v>
      </c>
      <c r="AA198" s="31">
        <f t="shared" si="247"/>
        <v>0</v>
      </c>
      <c r="AB198" s="31">
        <f t="shared" si="248"/>
        <v>0</v>
      </c>
      <c r="AC198" s="31">
        <f t="shared" si="249"/>
        <v>0</v>
      </c>
      <c r="AD198" s="31">
        <f t="shared" si="250"/>
        <v>0</v>
      </c>
      <c r="AE198" s="31">
        <f t="shared" si="251"/>
        <v>0</v>
      </c>
      <c r="AF198" s="31">
        <f t="shared" si="252"/>
        <v>0</v>
      </c>
      <c r="AG198" s="31">
        <f t="shared" si="253"/>
        <v>0</v>
      </c>
      <c r="AH198" s="26"/>
      <c r="AI198" s="17">
        <f t="shared" si="254"/>
        <v>0</v>
      </c>
      <c r="AJ198" s="17">
        <f t="shared" si="255"/>
        <v>0</v>
      </c>
      <c r="AK198" s="17">
        <f t="shared" si="256"/>
        <v>0</v>
      </c>
      <c r="AM198" s="31">
        <v>21</v>
      </c>
      <c r="AN198" s="31">
        <f>G198*0.846660395108184</f>
        <v>0</v>
      </c>
      <c r="AO198" s="31">
        <f>G198*(1-0.846660395108184)</f>
        <v>0</v>
      </c>
      <c r="AP198" s="27" t="s">
        <v>13</v>
      </c>
      <c r="AU198" s="31">
        <f t="shared" si="257"/>
        <v>0</v>
      </c>
      <c r="AV198" s="31">
        <f t="shared" si="258"/>
        <v>0</v>
      </c>
      <c r="AW198" s="31">
        <f t="shared" si="259"/>
        <v>0</v>
      </c>
      <c r="AX198" s="32" t="s">
        <v>1176</v>
      </c>
      <c r="AY198" s="32" t="s">
        <v>1207</v>
      </c>
      <c r="AZ198" s="26" t="s">
        <v>1215</v>
      </c>
      <c r="BB198" s="31">
        <f t="shared" si="260"/>
        <v>0</v>
      </c>
      <c r="BC198" s="31">
        <f t="shared" si="261"/>
        <v>0</v>
      </c>
      <c r="BD198" s="31">
        <v>0</v>
      </c>
      <c r="BE198" s="31">
        <f t="shared" si="262"/>
        <v>0</v>
      </c>
      <c r="BG198" s="17">
        <f t="shared" si="263"/>
        <v>0</v>
      </c>
      <c r="BH198" s="17">
        <f t="shared" si="264"/>
        <v>0</v>
      </c>
      <c r="BI198" s="17">
        <f t="shared" si="265"/>
        <v>0</v>
      </c>
    </row>
    <row r="199" spans="1:61" ht="25.5">
      <c r="A199" s="4" t="s">
        <v>171</v>
      </c>
      <c r="B199" s="4"/>
      <c r="C199" s="4" t="s">
        <v>545</v>
      </c>
      <c r="D199" s="71" t="s">
        <v>919</v>
      </c>
      <c r="E199" s="4" t="s">
        <v>1120</v>
      </c>
      <c r="F199" s="17">
        <v>2</v>
      </c>
      <c r="G199" s="148">
        <v>0</v>
      </c>
      <c r="H199" s="17">
        <f t="shared" si="242"/>
        <v>0</v>
      </c>
      <c r="I199" s="17">
        <f t="shared" si="243"/>
        <v>0</v>
      </c>
      <c r="J199" s="17">
        <f t="shared" si="244"/>
        <v>0</v>
      </c>
      <c r="K199" s="17">
        <v>0</v>
      </c>
      <c r="L199" s="17">
        <f t="shared" si="245"/>
        <v>0</v>
      </c>
      <c r="Y199" s="31">
        <f t="shared" si="246"/>
        <v>0</v>
      </c>
      <c r="AA199" s="31">
        <f t="shared" si="247"/>
        <v>0</v>
      </c>
      <c r="AB199" s="31">
        <f t="shared" si="248"/>
        <v>0</v>
      </c>
      <c r="AC199" s="31">
        <f t="shared" si="249"/>
        <v>0</v>
      </c>
      <c r="AD199" s="31">
        <f t="shared" si="250"/>
        <v>0</v>
      </c>
      <c r="AE199" s="31">
        <f t="shared" si="251"/>
        <v>0</v>
      </c>
      <c r="AF199" s="31">
        <f t="shared" si="252"/>
        <v>0</v>
      </c>
      <c r="AG199" s="31">
        <f t="shared" si="253"/>
        <v>0</v>
      </c>
      <c r="AH199" s="26"/>
      <c r="AI199" s="17">
        <f t="shared" si="254"/>
        <v>0</v>
      </c>
      <c r="AJ199" s="17">
        <f t="shared" si="255"/>
        <v>0</v>
      </c>
      <c r="AK199" s="17">
        <f t="shared" si="256"/>
        <v>0</v>
      </c>
      <c r="AM199" s="31">
        <v>21</v>
      </c>
      <c r="AN199" s="31">
        <f>G199*0.663400363737565</f>
        <v>0</v>
      </c>
      <c r="AO199" s="31">
        <f>G199*(1-0.663400363737565)</f>
        <v>0</v>
      </c>
      <c r="AP199" s="27" t="s">
        <v>13</v>
      </c>
      <c r="AU199" s="31">
        <f t="shared" si="257"/>
        <v>0</v>
      </c>
      <c r="AV199" s="31">
        <f t="shared" si="258"/>
        <v>0</v>
      </c>
      <c r="AW199" s="31">
        <f t="shared" si="259"/>
        <v>0</v>
      </c>
      <c r="AX199" s="32" t="s">
        <v>1176</v>
      </c>
      <c r="AY199" s="32" t="s">
        <v>1207</v>
      </c>
      <c r="AZ199" s="26" t="s">
        <v>1215</v>
      </c>
      <c r="BB199" s="31">
        <f t="shared" si="260"/>
        <v>0</v>
      </c>
      <c r="BC199" s="31">
        <f t="shared" si="261"/>
        <v>0</v>
      </c>
      <c r="BD199" s="31">
        <v>0</v>
      </c>
      <c r="BE199" s="31">
        <f t="shared" si="262"/>
        <v>0</v>
      </c>
      <c r="BG199" s="17">
        <f t="shared" si="263"/>
        <v>0</v>
      </c>
      <c r="BH199" s="17">
        <f t="shared" si="264"/>
        <v>0</v>
      </c>
      <c r="BI199" s="17">
        <f t="shared" si="265"/>
        <v>0</v>
      </c>
    </row>
    <row r="200" spans="1:61" ht="25.5">
      <c r="A200" s="4" t="s">
        <v>172</v>
      </c>
      <c r="B200" s="4"/>
      <c r="C200" s="4" t="s">
        <v>546</v>
      </c>
      <c r="D200" s="71" t="s">
        <v>920</v>
      </c>
      <c r="E200" s="4" t="s">
        <v>1125</v>
      </c>
      <c r="F200" s="17">
        <v>1</v>
      </c>
      <c r="G200" s="148">
        <v>0</v>
      </c>
      <c r="H200" s="17">
        <f t="shared" si="242"/>
        <v>0</v>
      </c>
      <c r="I200" s="17">
        <f t="shared" si="243"/>
        <v>0</v>
      </c>
      <c r="J200" s="17">
        <f t="shared" si="244"/>
        <v>0</v>
      </c>
      <c r="K200" s="17">
        <v>0</v>
      </c>
      <c r="L200" s="17">
        <f t="shared" si="245"/>
        <v>0</v>
      </c>
      <c r="Y200" s="31">
        <f t="shared" si="246"/>
        <v>0</v>
      </c>
      <c r="AA200" s="31">
        <f t="shared" si="247"/>
        <v>0</v>
      </c>
      <c r="AB200" s="31">
        <f t="shared" si="248"/>
        <v>0</v>
      </c>
      <c r="AC200" s="31">
        <f t="shared" si="249"/>
        <v>0</v>
      </c>
      <c r="AD200" s="31">
        <f t="shared" si="250"/>
        <v>0</v>
      </c>
      <c r="AE200" s="31">
        <f t="shared" si="251"/>
        <v>0</v>
      </c>
      <c r="AF200" s="31">
        <f t="shared" si="252"/>
        <v>0</v>
      </c>
      <c r="AG200" s="31">
        <f t="shared" si="253"/>
        <v>0</v>
      </c>
      <c r="AH200" s="26"/>
      <c r="AI200" s="17">
        <f t="shared" si="254"/>
        <v>0</v>
      </c>
      <c r="AJ200" s="17">
        <f t="shared" si="255"/>
        <v>0</v>
      </c>
      <c r="AK200" s="17">
        <f t="shared" si="256"/>
        <v>0</v>
      </c>
      <c r="AM200" s="31">
        <v>21</v>
      </c>
      <c r="AN200" s="31">
        <f>G200*0.0756463984749686</f>
        <v>0</v>
      </c>
      <c r="AO200" s="31">
        <f>G200*(1-0.0756463984749686)</f>
        <v>0</v>
      </c>
      <c r="AP200" s="27" t="s">
        <v>13</v>
      </c>
      <c r="AU200" s="31">
        <f t="shared" si="257"/>
        <v>0</v>
      </c>
      <c r="AV200" s="31">
        <f t="shared" si="258"/>
        <v>0</v>
      </c>
      <c r="AW200" s="31">
        <f t="shared" si="259"/>
        <v>0</v>
      </c>
      <c r="AX200" s="32" t="s">
        <v>1176</v>
      </c>
      <c r="AY200" s="32" t="s">
        <v>1207</v>
      </c>
      <c r="AZ200" s="26" t="s">
        <v>1215</v>
      </c>
      <c r="BB200" s="31">
        <f t="shared" si="260"/>
        <v>0</v>
      </c>
      <c r="BC200" s="31">
        <f t="shared" si="261"/>
        <v>0</v>
      </c>
      <c r="BD200" s="31">
        <v>0</v>
      </c>
      <c r="BE200" s="31">
        <f t="shared" si="262"/>
        <v>0</v>
      </c>
      <c r="BG200" s="17">
        <f t="shared" si="263"/>
        <v>0</v>
      </c>
      <c r="BH200" s="17">
        <f t="shared" si="264"/>
        <v>0</v>
      </c>
      <c r="BI200" s="17">
        <f t="shared" si="265"/>
        <v>0</v>
      </c>
    </row>
    <row r="201" spans="1:61" ht="25.5">
      <c r="A201" s="4" t="s">
        <v>173</v>
      </c>
      <c r="B201" s="4"/>
      <c r="C201" s="4" t="s">
        <v>547</v>
      </c>
      <c r="D201" s="71" t="s">
        <v>889</v>
      </c>
      <c r="E201" s="4" t="s">
        <v>1126</v>
      </c>
      <c r="F201" s="17">
        <v>1</v>
      </c>
      <c r="G201" s="148">
        <v>0</v>
      </c>
      <c r="H201" s="17">
        <f t="shared" si="242"/>
        <v>0</v>
      </c>
      <c r="I201" s="17">
        <f t="shared" si="243"/>
        <v>0</v>
      </c>
      <c r="J201" s="17">
        <f t="shared" si="244"/>
        <v>0</v>
      </c>
      <c r="K201" s="17">
        <v>0</v>
      </c>
      <c r="L201" s="17">
        <f t="shared" si="245"/>
        <v>0</v>
      </c>
      <c r="Y201" s="31">
        <f t="shared" si="246"/>
        <v>0</v>
      </c>
      <c r="AA201" s="31">
        <f t="shared" si="247"/>
        <v>0</v>
      </c>
      <c r="AB201" s="31">
        <f t="shared" si="248"/>
        <v>0</v>
      </c>
      <c r="AC201" s="31">
        <f t="shared" si="249"/>
        <v>0</v>
      </c>
      <c r="AD201" s="31">
        <f t="shared" si="250"/>
        <v>0</v>
      </c>
      <c r="AE201" s="31">
        <f t="shared" si="251"/>
        <v>0</v>
      </c>
      <c r="AF201" s="31">
        <f t="shared" si="252"/>
        <v>0</v>
      </c>
      <c r="AG201" s="31">
        <f t="shared" si="253"/>
        <v>0</v>
      </c>
      <c r="AH201" s="26"/>
      <c r="AI201" s="17">
        <f t="shared" si="254"/>
        <v>0</v>
      </c>
      <c r="AJ201" s="17">
        <f t="shared" si="255"/>
        <v>0</v>
      </c>
      <c r="AK201" s="17">
        <f t="shared" si="256"/>
        <v>0</v>
      </c>
      <c r="AM201" s="31">
        <v>21</v>
      </c>
      <c r="AN201" s="31">
        <f>G201*0</f>
        <v>0</v>
      </c>
      <c r="AO201" s="31">
        <f>G201*(1-0)</f>
        <v>0</v>
      </c>
      <c r="AP201" s="27" t="s">
        <v>13</v>
      </c>
      <c r="AU201" s="31">
        <f t="shared" si="257"/>
        <v>0</v>
      </c>
      <c r="AV201" s="31">
        <f t="shared" si="258"/>
        <v>0</v>
      </c>
      <c r="AW201" s="31">
        <f t="shared" si="259"/>
        <v>0</v>
      </c>
      <c r="AX201" s="32" t="s">
        <v>1176</v>
      </c>
      <c r="AY201" s="32" t="s">
        <v>1207</v>
      </c>
      <c r="AZ201" s="26" t="s">
        <v>1215</v>
      </c>
      <c r="BB201" s="31">
        <f t="shared" si="260"/>
        <v>0</v>
      </c>
      <c r="BC201" s="31">
        <f t="shared" si="261"/>
        <v>0</v>
      </c>
      <c r="BD201" s="31">
        <v>0</v>
      </c>
      <c r="BE201" s="31">
        <f t="shared" si="262"/>
        <v>0</v>
      </c>
      <c r="BG201" s="17">
        <f t="shared" si="263"/>
        <v>0</v>
      </c>
      <c r="BH201" s="17">
        <f t="shared" si="264"/>
        <v>0</v>
      </c>
      <c r="BI201" s="17">
        <f t="shared" si="265"/>
        <v>0</v>
      </c>
    </row>
    <row r="202" spans="1:61" ht="12.75">
      <c r="A202" s="4" t="s">
        <v>174</v>
      </c>
      <c r="B202" s="4"/>
      <c r="C202" s="4" t="s">
        <v>548</v>
      </c>
      <c r="D202" s="71" t="s">
        <v>921</v>
      </c>
      <c r="E202" s="4" t="s">
        <v>1120</v>
      </c>
      <c r="F202" s="17">
        <v>1</v>
      </c>
      <c r="G202" s="148">
        <v>0</v>
      </c>
      <c r="H202" s="17">
        <f t="shared" si="242"/>
        <v>0</v>
      </c>
      <c r="I202" s="17">
        <f t="shared" si="243"/>
        <v>0</v>
      </c>
      <c r="J202" s="17">
        <f t="shared" si="244"/>
        <v>0</v>
      </c>
      <c r="K202" s="17">
        <v>0</v>
      </c>
      <c r="L202" s="17">
        <f t="shared" si="245"/>
        <v>0</v>
      </c>
      <c r="Y202" s="31">
        <f t="shared" si="246"/>
        <v>0</v>
      </c>
      <c r="AA202" s="31">
        <f t="shared" si="247"/>
        <v>0</v>
      </c>
      <c r="AB202" s="31">
        <f t="shared" si="248"/>
        <v>0</v>
      </c>
      <c r="AC202" s="31">
        <f t="shared" si="249"/>
        <v>0</v>
      </c>
      <c r="AD202" s="31">
        <f t="shared" si="250"/>
        <v>0</v>
      </c>
      <c r="AE202" s="31">
        <f t="shared" si="251"/>
        <v>0</v>
      </c>
      <c r="AF202" s="31">
        <f t="shared" si="252"/>
        <v>0</v>
      </c>
      <c r="AG202" s="31">
        <f t="shared" si="253"/>
        <v>0</v>
      </c>
      <c r="AH202" s="26"/>
      <c r="AI202" s="17">
        <f t="shared" si="254"/>
        <v>0</v>
      </c>
      <c r="AJ202" s="17">
        <f t="shared" si="255"/>
        <v>0</v>
      </c>
      <c r="AK202" s="17">
        <f t="shared" si="256"/>
        <v>0</v>
      </c>
      <c r="AM202" s="31">
        <v>21</v>
      </c>
      <c r="AN202" s="31">
        <f>G202*0.742009132420091</f>
        <v>0</v>
      </c>
      <c r="AO202" s="31">
        <f>G202*(1-0.742009132420091)</f>
        <v>0</v>
      </c>
      <c r="AP202" s="27" t="s">
        <v>13</v>
      </c>
      <c r="AU202" s="31">
        <f t="shared" si="257"/>
        <v>0</v>
      </c>
      <c r="AV202" s="31">
        <f t="shared" si="258"/>
        <v>0</v>
      </c>
      <c r="AW202" s="31">
        <f t="shared" si="259"/>
        <v>0</v>
      </c>
      <c r="AX202" s="32" t="s">
        <v>1176</v>
      </c>
      <c r="AY202" s="32" t="s">
        <v>1207</v>
      </c>
      <c r="AZ202" s="26" t="s">
        <v>1215</v>
      </c>
      <c r="BB202" s="31">
        <f t="shared" si="260"/>
        <v>0</v>
      </c>
      <c r="BC202" s="31">
        <f t="shared" si="261"/>
        <v>0</v>
      </c>
      <c r="BD202" s="31">
        <v>0</v>
      </c>
      <c r="BE202" s="31">
        <f t="shared" si="262"/>
        <v>0</v>
      </c>
      <c r="BG202" s="17">
        <f t="shared" si="263"/>
        <v>0</v>
      </c>
      <c r="BH202" s="17">
        <f t="shared" si="264"/>
        <v>0</v>
      </c>
      <c r="BI202" s="17">
        <f t="shared" si="265"/>
        <v>0</v>
      </c>
    </row>
    <row r="203" spans="1:46" ht="12.75">
      <c r="A203" s="6"/>
      <c r="B203" s="13"/>
      <c r="C203" s="13" t="s">
        <v>549</v>
      </c>
      <c r="D203" s="73" t="s">
        <v>922</v>
      </c>
      <c r="E203" s="6" t="s">
        <v>6</v>
      </c>
      <c r="F203" s="6" t="s">
        <v>6</v>
      </c>
      <c r="G203" s="151" t="s">
        <v>6</v>
      </c>
      <c r="H203" s="34">
        <f>SUM(H204:H210)</f>
        <v>0</v>
      </c>
      <c r="I203" s="34">
        <f>SUM(I204:I210)</f>
        <v>0</v>
      </c>
      <c r="J203" s="34">
        <f>SUM(J204:J210)</f>
        <v>0</v>
      </c>
      <c r="K203" s="26"/>
      <c r="L203" s="34">
        <f>SUM(L204:L210)</f>
        <v>9.270774999999999</v>
      </c>
      <c r="AH203" s="26"/>
      <c r="AR203" s="34">
        <f>SUM(AI204:AI210)</f>
        <v>0</v>
      </c>
      <c r="AS203" s="34">
        <f>SUM(AJ204:AJ210)</f>
        <v>0</v>
      </c>
      <c r="AT203" s="34">
        <f>SUM(AK204:AK210)</f>
        <v>0</v>
      </c>
    </row>
    <row r="204" spans="1:61" ht="12.75">
      <c r="A204" s="4" t="s">
        <v>175</v>
      </c>
      <c r="B204" s="4"/>
      <c r="C204" s="4" t="s">
        <v>550</v>
      </c>
      <c r="D204" s="71" t="s">
        <v>923</v>
      </c>
      <c r="E204" s="4" t="s">
        <v>1125</v>
      </c>
      <c r="F204" s="17">
        <v>1</v>
      </c>
      <c r="G204" s="148">
        <v>0</v>
      </c>
      <c r="H204" s="17">
        <f aca="true" t="shared" si="266" ref="H204:H210">F204*AN204</f>
        <v>0</v>
      </c>
      <c r="I204" s="17">
        <f aca="true" t="shared" si="267" ref="I204:I210">F204*AO204</f>
        <v>0</v>
      </c>
      <c r="J204" s="17">
        <f aca="true" t="shared" si="268" ref="J204:J210">F204*G204</f>
        <v>0</v>
      </c>
      <c r="K204" s="17">
        <v>0.00046</v>
      </c>
      <c r="L204" s="17">
        <f aca="true" t="shared" si="269" ref="L204:L210">F204*K204</f>
        <v>0.00046</v>
      </c>
      <c r="Y204" s="31">
        <f aca="true" t="shared" si="270" ref="Y204:Y210">IF(AP204="5",BI204,0)</f>
        <v>0</v>
      </c>
      <c r="AA204" s="31">
        <f aca="true" t="shared" si="271" ref="AA204:AA210">IF(AP204="1",BG204,0)</f>
        <v>0</v>
      </c>
      <c r="AB204" s="31">
        <f aca="true" t="shared" si="272" ref="AB204:AB210">IF(AP204="1",BH204,0)</f>
        <v>0</v>
      </c>
      <c r="AC204" s="31">
        <f aca="true" t="shared" si="273" ref="AC204:AC210">IF(AP204="7",BG204,0)</f>
        <v>0</v>
      </c>
      <c r="AD204" s="31">
        <f aca="true" t="shared" si="274" ref="AD204:AD210">IF(AP204="7",BH204,0)</f>
        <v>0</v>
      </c>
      <c r="AE204" s="31">
        <f aca="true" t="shared" si="275" ref="AE204:AE210">IF(AP204="2",BG204,0)</f>
        <v>0</v>
      </c>
      <c r="AF204" s="31">
        <f aca="true" t="shared" si="276" ref="AF204:AF210">IF(AP204="2",BH204,0)</f>
        <v>0</v>
      </c>
      <c r="AG204" s="31">
        <f aca="true" t="shared" si="277" ref="AG204:AG210">IF(AP204="0",BI204,0)</f>
        <v>0</v>
      </c>
      <c r="AH204" s="26"/>
      <c r="AI204" s="17">
        <f aca="true" t="shared" si="278" ref="AI204:AI210">IF(AM204=0,J204,0)</f>
        <v>0</v>
      </c>
      <c r="AJ204" s="17">
        <f aca="true" t="shared" si="279" ref="AJ204:AJ210">IF(AM204=15,J204,0)</f>
        <v>0</v>
      </c>
      <c r="AK204" s="17">
        <f aca="true" t="shared" si="280" ref="AK204:AK210">IF(AM204=21,J204,0)</f>
        <v>0</v>
      </c>
      <c r="AM204" s="31">
        <v>21</v>
      </c>
      <c r="AN204" s="31">
        <f>G204*0.712328767123288</f>
        <v>0</v>
      </c>
      <c r="AO204" s="31">
        <f>G204*(1-0.712328767123288)</f>
        <v>0</v>
      </c>
      <c r="AP204" s="27" t="s">
        <v>13</v>
      </c>
      <c r="AU204" s="31">
        <f aca="true" t="shared" si="281" ref="AU204:AU210">AV204+AW204</f>
        <v>0</v>
      </c>
      <c r="AV204" s="31">
        <f aca="true" t="shared" si="282" ref="AV204:AV210">F204*AN204</f>
        <v>0</v>
      </c>
      <c r="AW204" s="31">
        <f aca="true" t="shared" si="283" ref="AW204:AW210">F204*AO204</f>
        <v>0</v>
      </c>
      <c r="AX204" s="32" t="s">
        <v>1177</v>
      </c>
      <c r="AY204" s="32" t="s">
        <v>1208</v>
      </c>
      <c r="AZ204" s="26" t="s">
        <v>1215</v>
      </c>
      <c r="BB204" s="31">
        <f aca="true" t="shared" si="284" ref="BB204:BB210">AV204+AW204</f>
        <v>0</v>
      </c>
      <c r="BC204" s="31">
        <f aca="true" t="shared" si="285" ref="BC204:BC210">G204/(100-BD204)*100</f>
        <v>0</v>
      </c>
      <c r="BD204" s="31">
        <v>0</v>
      </c>
      <c r="BE204" s="31">
        <f aca="true" t="shared" si="286" ref="BE204:BE210">L204</f>
        <v>0.00046</v>
      </c>
      <c r="BG204" s="17">
        <f aca="true" t="shared" si="287" ref="BG204:BG210">F204*AN204</f>
        <v>0</v>
      </c>
      <c r="BH204" s="17">
        <f aca="true" t="shared" si="288" ref="BH204:BH210">F204*AO204</f>
        <v>0</v>
      </c>
      <c r="BI204" s="17">
        <f aca="true" t="shared" si="289" ref="BI204:BI210">F204*G204</f>
        <v>0</v>
      </c>
    </row>
    <row r="205" spans="1:61" ht="12.75">
      <c r="A205" s="4" t="s">
        <v>176</v>
      </c>
      <c r="B205" s="4"/>
      <c r="C205" s="4" t="s">
        <v>551</v>
      </c>
      <c r="D205" s="71" t="s">
        <v>924</v>
      </c>
      <c r="E205" s="4" t="s">
        <v>1125</v>
      </c>
      <c r="F205" s="17">
        <v>1</v>
      </c>
      <c r="G205" s="148">
        <v>0</v>
      </c>
      <c r="H205" s="17">
        <f t="shared" si="266"/>
        <v>0</v>
      </c>
      <c r="I205" s="17">
        <f t="shared" si="267"/>
        <v>0</v>
      </c>
      <c r="J205" s="17">
        <f t="shared" si="268"/>
        <v>0</v>
      </c>
      <c r="K205" s="17">
        <v>0.00046</v>
      </c>
      <c r="L205" s="17">
        <f t="shared" si="269"/>
        <v>0.00046</v>
      </c>
      <c r="Y205" s="31">
        <f t="shared" si="270"/>
        <v>0</v>
      </c>
      <c r="AA205" s="31">
        <f t="shared" si="271"/>
        <v>0</v>
      </c>
      <c r="AB205" s="31">
        <f t="shared" si="272"/>
        <v>0</v>
      </c>
      <c r="AC205" s="31">
        <f t="shared" si="273"/>
        <v>0</v>
      </c>
      <c r="AD205" s="31">
        <f t="shared" si="274"/>
        <v>0</v>
      </c>
      <c r="AE205" s="31">
        <f t="shared" si="275"/>
        <v>0</v>
      </c>
      <c r="AF205" s="31">
        <f t="shared" si="276"/>
        <v>0</v>
      </c>
      <c r="AG205" s="31">
        <f t="shared" si="277"/>
        <v>0</v>
      </c>
      <c r="AH205" s="26"/>
      <c r="AI205" s="17">
        <f t="shared" si="278"/>
        <v>0</v>
      </c>
      <c r="AJ205" s="17">
        <f t="shared" si="279"/>
        <v>0</v>
      </c>
      <c r="AK205" s="17">
        <f t="shared" si="280"/>
        <v>0</v>
      </c>
      <c r="AM205" s="31">
        <v>21</v>
      </c>
      <c r="AN205" s="31">
        <f>G205*0.841683366733467</f>
        <v>0</v>
      </c>
      <c r="AO205" s="31">
        <f>G205*(1-0.841683366733467)</f>
        <v>0</v>
      </c>
      <c r="AP205" s="27" t="s">
        <v>13</v>
      </c>
      <c r="AU205" s="31">
        <f t="shared" si="281"/>
        <v>0</v>
      </c>
      <c r="AV205" s="31">
        <f t="shared" si="282"/>
        <v>0</v>
      </c>
      <c r="AW205" s="31">
        <f t="shared" si="283"/>
        <v>0</v>
      </c>
      <c r="AX205" s="32" t="s">
        <v>1177</v>
      </c>
      <c r="AY205" s="32" t="s">
        <v>1208</v>
      </c>
      <c r="AZ205" s="26" t="s">
        <v>1215</v>
      </c>
      <c r="BB205" s="31">
        <f t="shared" si="284"/>
        <v>0</v>
      </c>
      <c r="BC205" s="31">
        <f t="shared" si="285"/>
        <v>0</v>
      </c>
      <c r="BD205" s="31">
        <v>0</v>
      </c>
      <c r="BE205" s="31">
        <f t="shared" si="286"/>
        <v>0.00046</v>
      </c>
      <c r="BG205" s="17">
        <f t="shared" si="287"/>
        <v>0</v>
      </c>
      <c r="BH205" s="17">
        <f t="shared" si="288"/>
        <v>0</v>
      </c>
      <c r="BI205" s="17">
        <f t="shared" si="289"/>
        <v>0</v>
      </c>
    </row>
    <row r="206" spans="1:61" ht="25.5">
      <c r="A206" s="4" t="s">
        <v>177</v>
      </c>
      <c r="B206" s="4"/>
      <c r="C206" s="4" t="s">
        <v>552</v>
      </c>
      <c r="D206" s="71" t="s">
        <v>925</v>
      </c>
      <c r="E206" s="4" t="s">
        <v>1124</v>
      </c>
      <c r="F206" s="17">
        <v>1</v>
      </c>
      <c r="G206" s="148">
        <v>0</v>
      </c>
      <c r="H206" s="17">
        <f t="shared" si="266"/>
        <v>0</v>
      </c>
      <c r="I206" s="17">
        <f t="shared" si="267"/>
        <v>0</v>
      </c>
      <c r="J206" s="17">
        <f t="shared" si="268"/>
        <v>0</v>
      </c>
      <c r="K206" s="17">
        <v>0.00095</v>
      </c>
      <c r="L206" s="17">
        <f t="shared" si="269"/>
        <v>0.00095</v>
      </c>
      <c r="Y206" s="31">
        <f t="shared" si="270"/>
        <v>0</v>
      </c>
      <c r="AA206" s="31">
        <f t="shared" si="271"/>
        <v>0</v>
      </c>
      <c r="AB206" s="31">
        <f t="shared" si="272"/>
        <v>0</v>
      </c>
      <c r="AC206" s="31">
        <f t="shared" si="273"/>
        <v>0</v>
      </c>
      <c r="AD206" s="31">
        <f t="shared" si="274"/>
        <v>0</v>
      </c>
      <c r="AE206" s="31">
        <f t="shared" si="275"/>
        <v>0</v>
      </c>
      <c r="AF206" s="31">
        <f t="shared" si="276"/>
        <v>0</v>
      </c>
      <c r="AG206" s="31">
        <f t="shared" si="277"/>
        <v>0</v>
      </c>
      <c r="AH206" s="26"/>
      <c r="AI206" s="17">
        <f t="shared" si="278"/>
        <v>0</v>
      </c>
      <c r="AJ206" s="17">
        <f t="shared" si="279"/>
        <v>0</v>
      </c>
      <c r="AK206" s="17">
        <f t="shared" si="280"/>
        <v>0</v>
      </c>
      <c r="AM206" s="31">
        <v>21</v>
      </c>
      <c r="AN206" s="31">
        <f>G206*0.842462905614916</f>
        <v>0</v>
      </c>
      <c r="AO206" s="31">
        <f>G206*(1-0.842462905614916)</f>
        <v>0</v>
      </c>
      <c r="AP206" s="27" t="s">
        <v>13</v>
      </c>
      <c r="AU206" s="31">
        <f t="shared" si="281"/>
        <v>0</v>
      </c>
      <c r="AV206" s="31">
        <f t="shared" si="282"/>
        <v>0</v>
      </c>
      <c r="AW206" s="31">
        <f t="shared" si="283"/>
        <v>0</v>
      </c>
      <c r="AX206" s="32" t="s">
        <v>1177</v>
      </c>
      <c r="AY206" s="32" t="s">
        <v>1208</v>
      </c>
      <c r="AZ206" s="26" t="s">
        <v>1215</v>
      </c>
      <c r="BB206" s="31">
        <f t="shared" si="284"/>
        <v>0</v>
      </c>
      <c r="BC206" s="31">
        <f t="shared" si="285"/>
        <v>0</v>
      </c>
      <c r="BD206" s="31">
        <v>0</v>
      </c>
      <c r="BE206" s="31">
        <f t="shared" si="286"/>
        <v>0.00095</v>
      </c>
      <c r="BG206" s="17">
        <f t="shared" si="287"/>
        <v>0</v>
      </c>
      <c r="BH206" s="17">
        <f t="shared" si="288"/>
        <v>0</v>
      </c>
      <c r="BI206" s="17">
        <f t="shared" si="289"/>
        <v>0</v>
      </c>
    </row>
    <row r="207" spans="1:61" ht="12.75">
      <c r="A207" s="4" t="s">
        <v>178</v>
      </c>
      <c r="B207" s="4"/>
      <c r="C207" s="4" t="s">
        <v>553</v>
      </c>
      <c r="D207" s="71" t="s">
        <v>926</v>
      </c>
      <c r="E207" s="4" t="s">
        <v>1123</v>
      </c>
      <c r="F207" s="17">
        <v>6.5</v>
      </c>
      <c r="G207" s="148">
        <v>0</v>
      </c>
      <c r="H207" s="17">
        <f t="shared" si="266"/>
        <v>0</v>
      </c>
      <c r="I207" s="17">
        <f t="shared" si="267"/>
        <v>0</v>
      </c>
      <c r="J207" s="17">
        <f t="shared" si="268"/>
        <v>0</v>
      </c>
      <c r="K207" s="17">
        <v>0.03641</v>
      </c>
      <c r="L207" s="17">
        <f t="shared" si="269"/>
        <v>0.236665</v>
      </c>
      <c r="Y207" s="31">
        <f t="shared" si="270"/>
        <v>0</v>
      </c>
      <c r="AA207" s="31">
        <f t="shared" si="271"/>
        <v>0</v>
      </c>
      <c r="AB207" s="31">
        <f t="shared" si="272"/>
        <v>0</v>
      </c>
      <c r="AC207" s="31">
        <f t="shared" si="273"/>
        <v>0</v>
      </c>
      <c r="AD207" s="31">
        <f t="shared" si="274"/>
        <v>0</v>
      </c>
      <c r="AE207" s="31">
        <f t="shared" si="275"/>
        <v>0</v>
      </c>
      <c r="AF207" s="31">
        <f t="shared" si="276"/>
        <v>0</v>
      </c>
      <c r="AG207" s="31">
        <f t="shared" si="277"/>
        <v>0</v>
      </c>
      <c r="AH207" s="26"/>
      <c r="AI207" s="17">
        <f t="shared" si="278"/>
        <v>0</v>
      </c>
      <c r="AJ207" s="17">
        <f t="shared" si="279"/>
        <v>0</v>
      </c>
      <c r="AK207" s="17">
        <f t="shared" si="280"/>
        <v>0</v>
      </c>
      <c r="AM207" s="31">
        <v>21</v>
      </c>
      <c r="AN207" s="31">
        <f>G207*0.864267715567574</f>
        <v>0</v>
      </c>
      <c r="AO207" s="31">
        <f>G207*(1-0.864267715567574)</f>
        <v>0</v>
      </c>
      <c r="AP207" s="27" t="s">
        <v>13</v>
      </c>
      <c r="AU207" s="31">
        <f t="shared" si="281"/>
        <v>0</v>
      </c>
      <c r="AV207" s="31">
        <f t="shared" si="282"/>
        <v>0</v>
      </c>
      <c r="AW207" s="31">
        <f t="shared" si="283"/>
        <v>0</v>
      </c>
      <c r="AX207" s="32" t="s">
        <v>1177</v>
      </c>
      <c r="AY207" s="32" t="s">
        <v>1208</v>
      </c>
      <c r="AZ207" s="26" t="s">
        <v>1215</v>
      </c>
      <c r="BB207" s="31">
        <f t="shared" si="284"/>
        <v>0</v>
      </c>
      <c r="BC207" s="31">
        <f t="shared" si="285"/>
        <v>0</v>
      </c>
      <c r="BD207" s="31">
        <v>0</v>
      </c>
      <c r="BE207" s="31">
        <f t="shared" si="286"/>
        <v>0.236665</v>
      </c>
      <c r="BG207" s="17">
        <f t="shared" si="287"/>
        <v>0</v>
      </c>
      <c r="BH207" s="17">
        <f t="shared" si="288"/>
        <v>0</v>
      </c>
      <c r="BI207" s="17">
        <f t="shared" si="289"/>
        <v>0</v>
      </c>
    </row>
    <row r="208" spans="1:61" ht="12.75">
      <c r="A208" s="4" t="s">
        <v>179</v>
      </c>
      <c r="B208" s="4"/>
      <c r="C208" s="4" t="s">
        <v>554</v>
      </c>
      <c r="D208" s="71" t="s">
        <v>927</v>
      </c>
      <c r="E208" s="4" t="s">
        <v>1125</v>
      </c>
      <c r="F208" s="17">
        <v>1</v>
      </c>
      <c r="G208" s="148">
        <v>0</v>
      </c>
      <c r="H208" s="17">
        <f t="shared" si="266"/>
        <v>0</v>
      </c>
      <c r="I208" s="17">
        <f t="shared" si="267"/>
        <v>0</v>
      </c>
      <c r="J208" s="17">
        <f t="shared" si="268"/>
        <v>0</v>
      </c>
      <c r="K208" s="17">
        <v>5.39119</v>
      </c>
      <c r="L208" s="17">
        <f t="shared" si="269"/>
        <v>5.39119</v>
      </c>
      <c r="Y208" s="31">
        <f t="shared" si="270"/>
        <v>0</v>
      </c>
      <c r="AA208" s="31">
        <f t="shared" si="271"/>
        <v>0</v>
      </c>
      <c r="AB208" s="31">
        <f t="shared" si="272"/>
        <v>0</v>
      </c>
      <c r="AC208" s="31">
        <f t="shared" si="273"/>
        <v>0</v>
      </c>
      <c r="AD208" s="31">
        <f t="shared" si="274"/>
        <v>0</v>
      </c>
      <c r="AE208" s="31">
        <f t="shared" si="275"/>
        <v>0</v>
      </c>
      <c r="AF208" s="31">
        <f t="shared" si="276"/>
        <v>0</v>
      </c>
      <c r="AG208" s="31">
        <f t="shared" si="277"/>
        <v>0</v>
      </c>
      <c r="AH208" s="26"/>
      <c r="AI208" s="17">
        <f t="shared" si="278"/>
        <v>0</v>
      </c>
      <c r="AJ208" s="17">
        <f t="shared" si="279"/>
        <v>0</v>
      </c>
      <c r="AK208" s="17">
        <f t="shared" si="280"/>
        <v>0</v>
      </c>
      <c r="AM208" s="31">
        <v>21</v>
      </c>
      <c r="AN208" s="31">
        <f>G208*0</f>
        <v>0</v>
      </c>
      <c r="AO208" s="31">
        <f>G208*(1-0)</f>
        <v>0</v>
      </c>
      <c r="AP208" s="27" t="s">
        <v>13</v>
      </c>
      <c r="AU208" s="31">
        <f t="shared" si="281"/>
        <v>0</v>
      </c>
      <c r="AV208" s="31">
        <f t="shared" si="282"/>
        <v>0</v>
      </c>
      <c r="AW208" s="31">
        <f t="shared" si="283"/>
        <v>0</v>
      </c>
      <c r="AX208" s="32" t="s">
        <v>1177</v>
      </c>
      <c r="AY208" s="32" t="s">
        <v>1208</v>
      </c>
      <c r="AZ208" s="26" t="s">
        <v>1215</v>
      </c>
      <c r="BB208" s="31">
        <f t="shared" si="284"/>
        <v>0</v>
      </c>
      <c r="BC208" s="31">
        <f t="shared" si="285"/>
        <v>0</v>
      </c>
      <c r="BD208" s="31">
        <v>0</v>
      </c>
      <c r="BE208" s="31">
        <f t="shared" si="286"/>
        <v>5.39119</v>
      </c>
      <c r="BG208" s="17">
        <f t="shared" si="287"/>
        <v>0</v>
      </c>
      <c r="BH208" s="17">
        <f t="shared" si="288"/>
        <v>0</v>
      </c>
      <c r="BI208" s="17">
        <f t="shared" si="289"/>
        <v>0</v>
      </c>
    </row>
    <row r="209" spans="1:61" ht="12.75">
      <c r="A209" s="4" t="s">
        <v>180</v>
      </c>
      <c r="B209" s="4"/>
      <c r="C209" s="4" t="s">
        <v>514</v>
      </c>
      <c r="D209" s="71" t="s">
        <v>928</v>
      </c>
      <c r="E209" s="4" t="s">
        <v>1120</v>
      </c>
      <c r="F209" s="17">
        <v>1</v>
      </c>
      <c r="G209" s="148">
        <v>0</v>
      </c>
      <c r="H209" s="17">
        <f t="shared" si="266"/>
        <v>0</v>
      </c>
      <c r="I209" s="17">
        <f t="shared" si="267"/>
        <v>0</v>
      </c>
      <c r="J209" s="17">
        <f t="shared" si="268"/>
        <v>0</v>
      </c>
      <c r="K209" s="17">
        <v>1.92055</v>
      </c>
      <c r="L209" s="17">
        <f t="shared" si="269"/>
        <v>1.92055</v>
      </c>
      <c r="Y209" s="31">
        <f t="shared" si="270"/>
        <v>0</v>
      </c>
      <c r="AA209" s="31">
        <f t="shared" si="271"/>
        <v>0</v>
      </c>
      <c r="AB209" s="31">
        <f t="shared" si="272"/>
        <v>0</v>
      </c>
      <c r="AC209" s="31">
        <f t="shared" si="273"/>
        <v>0</v>
      </c>
      <c r="AD209" s="31">
        <f t="shared" si="274"/>
        <v>0</v>
      </c>
      <c r="AE209" s="31">
        <f t="shared" si="275"/>
        <v>0</v>
      </c>
      <c r="AF209" s="31">
        <f t="shared" si="276"/>
        <v>0</v>
      </c>
      <c r="AG209" s="31">
        <f t="shared" si="277"/>
        <v>0</v>
      </c>
      <c r="AH209" s="26"/>
      <c r="AI209" s="17">
        <f t="shared" si="278"/>
        <v>0</v>
      </c>
      <c r="AJ209" s="17">
        <f t="shared" si="279"/>
        <v>0</v>
      </c>
      <c r="AK209" s="17">
        <f t="shared" si="280"/>
        <v>0</v>
      </c>
      <c r="AM209" s="31">
        <v>21</v>
      </c>
      <c r="AN209" s="31">
        <f>G209*0</f>
        <v>0</v>
      </c>
      <c r="AO209" s="31">
        <f>G209*(1-0)</f>
        <v>0</v>
      </c>
      <c r="AP209" s="27" t="s">
        <v>13</v>
      </c>
      <c r="AU209" s="31">
        <f t="shared" si="281"/>
        <v>0</v>
      </c>
      <c r="AV209" s="31">
        <f t="shared" si="282"/>
        <v>0</v>
      </c>
      <c r="AW209" s="31">
        <f t="shared" si="283"/>
        <v>0</v>
      </c>
      <c r="AX209" s="32" t="s">
        <v>1177</v>
      </c>
      <c r="AY209" s="32" t="s">
        <v>1208</v>
      </c>
      <c r="AZ209" s="26" t="s">
        <v>1215</v>
      </c>
      <c r="BB209" s="31">
        <f t="shared" si="284"/>
        <v>0</v>
      </c>
      <c r="BC209" s="31">
        <f t="shared" si="285"/>
        <v>0</v>
      </c>
      <c r="BD209" s="31">
        <v>0</v>
      </c>
      <c r="BE209" s="31">
        <f t="shared" si="286"/>
        <v>1.92055</v>
      </c>
      <c r="BG209" s="17">
        <f t="shared" si="287"/>
        <v>0</v>
      </c>
      <c r="BH209" s="17">
        <f t="shared" si="288"/>
        <v>0</v>
      </c>
      <c r="BI209" s="17">
        <f t="shared" si="289"/>
        <v>0</v>
      </c>
    </row>
    <row r="210" spans="1:61" ht="12.75">
      <c r="A210" s="4" t="s">
        <v>181</v>
      </c>
      <c r="B210" s="4"/>
      <c r="C210" s="4" t="s">
        <v>555</v>
      </c>
      <c r="D210" s="71" t="s">
        <v>929</v>
      </c>
      <c r="E210" s="4" t="s">
        <v>1125</v>
      </c>
      <c r="F210" s="17">
        <v>1</v>
      </c>
      <c r="G210" s="148">
        <v>0</v>
      </c>
      <c r="H210" s="17">
        <f t="shared" si="266"/>
        <v>0</v>
      </c>
      <c r="I210" s="17">
        <f t="shared" si="267"/>
        <v>0</v>
      </c>
      <c r="J210" s="17">
        <f t="shared" si="268"/>
        <v>0</v>
      </c>
      <c r="K210" s="17">
        <v>1.7205</v>
      </c>
      <c r="L210" s="17">
        <f t="shared" si="269"/>
        <v>1.7205</v>
      </c>
      <c r="Y210" s="31">
        <f t="shared" si="270"/>
        <v>0</v>
      </c>
      <c r="AA210" s="31">
        <f t="shared" si="271"/>
        <v>0</v>
      </c>
      <c r="AB210" s="31">
        <f t="shared" si="272"/>
        <v>0</v>
      </c>
      <c r="AC210" s="31">
        <f t="shared" si="273"/>
        <v>0</v>
      </c>
      <c r="AD210" s="31">
        <f t="shared" si="274"/>
        <v>0</v>
      </c>
      <c r="AE210" s="31">
        <f t="shared" si="275"/>
        <v>0</v>
      </c>
      <c r="AF210" s="31">
        <f t="shared" si="276"/>
        <v>0</v>
      </c>
      <c r="AG210" s="31">
        <f t="shared" si="277"/>
        <v>0</v>
      </c>
      <c r="AH210" s="26"/>
      <c r="AI210" s="17">
        <f t="shared" si="278"/>
        <v>0</v>
      </c>
      <c r="AJ210" s="17">
        <f t="shared" si="279"/>
        <v>0</v>
      </c>
      <c r="AK210" s="17">
        <f t="shared" si="280"/>
        <v>0</v>
      </c>
      <c r="AM210" s="31">
        <v>21</v>
      </c>
      <c r="AN210" s="31">
        <f>G210*0</f>
        <v>0</v>
      </c>
      <c r="AO210" s="31">
        <f>G210*(1-0)</f>
        <v>0</v>
      </c>
      <c r="AP210" s="27" t="s">
        <v>13</v>
      </c>
      <c r="AU210" s="31">
        <f t="shared" si="281"/>
        <v>0</v>
      </c>
      <c r="AV210" s="31">
        <f t="shared" si="282"/>
        <v>0</v>
      </c>
      <c r="AW210" s="31">
        <f t="shared" si="283"/>
        <v>0</v>
      </c>
      <c r="AX210" s="32" t="s">
        <v>1177</v>
      </c>
      <c r="AY210" s="32" t="s">
        <v>1208</v>
      </c>
      <c r="AZ210" s="26" t="s">
        <v>1215</v>
      </c>
      <c r="BB210" s="31">
        <f t="shared" si="284"/>
        <v>0</v>
      </c>
      <c r="BC210" s="31">
        <f t="shared" si="285"/>
        <v>0</v>
      </c>
      <c r="BD210" s="31">
        <v>0</v>
      </c>
      <c r="BE210" s="31">
        <f t="shared" si="286"/>
        <v>1.7205</v>
      </c>
      <c r="BG210" s="17">
        <f t="shared" si="287"/>
        <v>0</v>
      </c>
      <c r="BH210" s="17">
        <f t="shared" si="288"/>
        <v>0</v>
      </c>
      <c r="BI210" s="17">
        <f t="shared" si="289"/>
        <v>0</v>
      </c>
    </row>
    <row r="211" spans="1:46" ht="12.75">
      <c r="A211" s="6"/>
      <c r="B211" s="13"/>
      <c r="C211" s="13" t="s">
        <v>556</v>
      </c>
      <c r="D211" s="73" t="s">
        <v>930</v>
      </c>
      <c r="E211" s="6" t="s">
        <v>6</v>
      </c>
      <c r="F211" s="6" t="s">
        <v>6</v>
      </c>
      <c r="G211" s="151" t="s">
        <v>6</v>
      </c>
      <c r="H211" s="34">
        <f>SUM(H212:H222)</f>
        <v>0</v>
      </c>
      <c r="I211" s="34">
        <f>SUM(I212:I222)</f>
        <v>0</v>
      </c>
      <c r="J211" s="34">
        <f>SUM(J212:J222)</f>
        <v>0</v>
      </c>
      <c r="K211" s="26"/>
      <c r="L211" s="34">
        <f>SUM(L212:L222)</f>
        <v>0.7795000000000001</v>
      </c>
      <c r="AH211" s="26"/>
      <c r="AR211" s="34">
        <f>SUM(AI212:AI222)</f>
        <v>0</v>
      </c>
      <c r="AS211" s="34">
        <f>SUM(AJ212:AJ222)</f>
        <v>0</v>
      </c>
      <c r="AT211" s="34">
        <f>SUM(AK212:AK222)</f>
        <v>0</v>
      </c>
    </row>
    <row r="212" spans="1:61" ht="25.5">
      <c r="A212" s="4" t="s">
        <v>182</v>
      </c>
      <c r="B212" s="4"/>
      <c r="C212" s="4" t="s">
        <v>557</v>
      </c>
      <c r="D212" s="71" t="s">
        <v>931</v>
      </c>
      <c r="E212" s="4" t="s">
        <v>1123</v>
      </c>
      <c r="F212" s="17">
        <v>32</v>
      </c>
      <c r="G212" s="148">
        <v>0</v>
      </c>
      <c r="H212" s="17">
        <f aca="true" t="shared" si="290" ref="H212:H222">F212*AN212</f>
        <v>0</v>
      </c>
      <c r="I212" s="17">
        <f aca="true" t="shared" si="291" ref="I212:I222">F212*AO212</f>
        <v>0</v>
      </c>
      <c r="J212" s="17">
        <f aca="true" t="shared" si="292" ref="J212:J222">F212*G212</f>
        <v>0</v>
      </c>
      <c r="K212" s="17">
        <v>0.00585</v>
      </c>
      <c r="L212" s="17">
        <f aca="true" t="shared" si="293" ref="L212:L222">F212*K212</f>
        <v>0.1872</v>
      </c>
      <c r="Y212" s="31">
        <f aca="true" t="shared" si="294" ref="Y212:Y222">IF(AP212="5",BI212,0)</f>
        <v>0</v>
      </c>
      <c r="AA212" s="31">
        <f aca="true" t="shared" si="295" ref="AA212:AA222">IF(AP212="1",BG212,0)</f>
        <v>0</v>
      </c>
      <c r="AB212" s="31">
        <f aca="true" t="shared" si="296" ref="AB212:AB222">IF(AP212="1",BH212,0)</f>
        <v>0</v>
      </c>
      <c r="AC212" s="31">
        <f aca="true" t="shared" si="297" ref="AC212:AC222">IF(AP212="7",BG212,0)</f>
        <v>0</v>
      </c>
      <c r="AD212" s="31">
        <f aca="true" t="shared" si="298" ref="AD212:AD222">IF(AP212="7",BH212,0)</f>
        <v>0</v>
      </c>
      <c r="AE212" s="31">
        <f aca="true" t="shared" si="299" ref="AE212:AE222">IF(AP212="2",BG212,0)</f>
        <v>0</v>
      </c>
      <c r="AF212" s="31">
        <f aca="true" t="shared" si="300" ref="AF212:AF222">IF(AP212="2",BH212,0)</f>
        <v>0</v>
      </c>
      <c r="AG212" s="31">
        <f aca="true" t="shared" si="301" ref="AG212:AG222">IF(AP212="0",BI212,0)</f>
        <v>0</v>
      </c>
      <c r="AH212" s="26"/>
      <c r="AI212" s="17">
        <f aca="true" t="shared" si="302" ref="AI212:AI222">IF(AM212=0,J212,0)</f>
        <v>0</v>
      </c>
      <c r="AJ212" s="17">
        <f aca="true" t="shared" si="303" ref="AJ212:AJ222">IF(AM212=15,J212,0)</f>
        <v>0</v>
      </c>
      <c r="AK212" s="17">
        <f aca="true" t="shared" si="304" ref="AK212:AK222">IF(AM212=21,J212,0)</f>
        <v>0</v>
      </c>
      <c r="AM212" s="31">
        <v>21</v>
      </c>
      <c r="AN212" s="31">
        <f>G212*0.540302935951208</f>
        <v>0</v>
      </c>
      <c r="AO212" s="31">
        <f>G212*(1-0.540302935951208)</f>
        <v>0</v>
      </c>
      <c r="AP212" s="27" t="s">
        <v>13</v>
      </c>
      <c r="AU212" s="31">
        <f aca="true" t="shared" si="305" ref="AU212:AU222">AV212+AW212</f>
        <v>0</v>
      </c>
      <c r="AV212" s="31">
        <f aca="true" t="shared" si="306" ref="AV212:AV222">F212*AN212</f>
        <v>0</v>
      </c>
      <c r="AW212" s="31">
        <f aca="true" t="shared" si="307" ref="AW212:AW222">F212*AO212</f>
        <v>0</v>
      </c>
      <c r="AX212" s="32" t="s">
        <v>1178</v>
      </c>
      <c r="AY212" s="32" t="s">
        <v>1208</v>
      </c>
      <c r="AZ212" s="26" t="s">
        <v>1215</v>
      </c>
      <c r="BB212" s="31">
        <f aca="true" t="shared" si="308" ref="BB212:BB222">AV212+AW212</f>
        <v>0</v>
      </c>
      <c r="BC212" s="31">
        <f aca="true" t="shared" si="309" ref="BC212:BC222">G212/(100-BD212)*100</f>
        <v>0</v>
      </c>
      <c r="BD212" s="31">
        <v>0</v>
      </c>
      <c r="BE212" s="31">
        <f aca="true" t="shared" si="310" ref="BE212:BE222">L212</f>
        <v>0.1872</v>
      </c>
      <c r="BG212" s="17">
        <f aca="true" t="shared" si="311" ref="BG212:BG222">F212*AN212</f>
        <v>0</v>
      </c>
      <c r="BH212" s="17">
        <f aca="true" t="shared" si="312" ref="BH212:BH222">F212*AO212</f>
        <v>0</v>
      </c>
      <c r="BI212" s="17">
        <f aca="true" t="shared" si="313" ref="BI212:BI222">F212*G212</f>
        <v>0</v>
      </c>
    </row>
    <row r="213" spans="1:61" ht="25.5">
      <c r="A213" s="4" t="s">
        <v>183</v>
      </c>
      <c r="B213" s="4"/>
      <c r="C213" s="4" t="s">
        <v>558</v>
      </c>
      <c r="D213" s="71" t="s">
        <v>932</v>
      </c>
      <c r="E213" s="4" t="s">
        <v>1123</v>
      </c>
      <c r="F213" s="17">
        <v>30</v>
      </c>
      <c r="G213" s="148">
        <v>0</v>
      </c>
      <c r="H213" s="17">
        <f t="shared" si="290"/>
        <v>0</v>
      </c>
      <c r="I213" s="17">
        <f t="shared" si="291"/>
        <v>0</v>
      </c>
      <c r="J213" s="17">
        <f t="shared" si="292"/>
        <v>0</v>
      </c>
      <c r="K213" s="17">
        <v>0.00585</v>
      </c>
      <c r="L213" s="17">
        <f t="shared" si="293"/>
        <v>0.17550000000000002</v>
      </c>
      <c r="Y213" s="31">
        <f t="shared" si="294"/>
        <v>0</v>
      </c>
      <c r="AA213" s="31">
        <f t="shared" si="295"/>
        <v>0</v>
      </c>
      <c r="AB213" s="31">
        <f t="shared" si="296"/>
        <v>0</v>
      </c>
      <c r="AC213" s="31">
        <f t="shared" si="297"/>
        <v>0</v>
      </c>
      <c r="AD213" s="31">
        <f t="shared" si="298"/>
        <v>0</v>
      </c>
      <c r="AE213" s="31">
        <f t="shared" si="299"/>
        <v>0</v>
      </c>
      <c r="AF213" s="31">
        <f t="shared" si="300"/>
        <v>0</v>
      </c>
      <c r="AG213" s="31">
        <f t="shared" si="301"/>
        <v>0</v>
      </c>
      <c r="AH213" s="26"/>
      <c r="AI213" s="17">
        <f t="shared" si="302"/>
        <v>0</v>
      </c>
      <c r="AJ213" s="17">
        <f t="shared" si="303"/>
        <v>0</v>
      </c>
      <c r="AK213" s="17">
        <f t="shared" si="304"/>
        <v>0</v>
      </c>
      <c r="AM213" s="31">
        <v>21</v>
      </c>
      <c r="AN213" s="31">
        <f>G213*0.560882317627485</f>
        <v>0</v>
      </c>
      <c r="AO213" s="31">
        <f>G213*(1-0.560882317627485)</f>
        <v>0</v>
      </c>
      <c r="AP213" s="27" t="s">
        <v>13</v>
      </c>
      <c r="AU213" s="31">
        <f t="shared" si="305"/>
        <v>0</v>
      </c>
      <c r="AV213" s="31">
        <f t="shared" si="306"/>
        <v>0</v>
      </c>
      <c r="AW213" s="31">
        <f t="shared" si="307"/>
        <v>0</v>
      </c>
      <c r="AX213" s="32" t="s">
        <v>1178</v>
      </c>
      <c r="AY213" s="32" t="s">
        <v>1208</v>
      </c>
      <c r="AZ213" s="26" t="s">
        <v>1215</v>
      </c>
      <c r="BB213" s="31">
        <f t="shared" si="308"/>
        <v>0</v>
      </c>
      <c r="BC213" s="31">
        <f t="shared" si="309"/>
        <v>0</v>
      </c>
      <c r="BD213" s="31">
        <v>0</v>
      </c>
      <c r="BE213" s="31">
        <f t="shared" si="310"/>
        <v>0.17550000000000002</v>
      </c>
      <c r="BG213" s="17">
        <f t="shared" si="311"/>
        <v>0</v>
      </c>
      <c r="BH213" s="17">
        <f t="shared" si="312"/>
        <v>0</v>
      </c>
      <c r="BI213" s="17">
        <f t="shared" si="313"/>
        <v>0</v>
      </c>
    </row>
    <row r="214" spans="1:61" ht="25.5">
      <c r="A214" s="4" t="s">
        <v>184</v>
      </c>
      <c r="B214" s="4"/>
      <c r="C214" s="4" t="s">
        <v>559</v>
      </c>
      <c r="D214" s="71" t="s">
        <v>933</v>
      </c>
      <c r="E214" s="4" t="s">
        <v>1123</v>
      </c>
      <c r="F214" s="17">
        <v>42</v>
      </c>
      <c r="G214" s="148">
        <v>0</v>
      </c>
      <c r="H214" s="17">
        <f t="shared" si="290"/>
        <v>0</v>
      </c>
      <c r="I214" s="17">
        <f t="shared" si="291"/>
        <v>0</v>
      </c>
      <c r="J214" s="17">
        <f t="shared" si="292"/>
        <v>0</v>
      </c>
      <c r="K214" s="17">
        <v>0.00586</v>
      </c>
      <c r="L214" s="17">
        <f t="shared" si="293"/>
        <v>0.24611999999999998</v>
      </c>
      <c r="Y214" s="31">
        <f t="shared" si="294"/>
        <v>0</v>
      </c>
      <c r="AA214" s="31">
        <f t="shared" si="295"/>
        <v>0</v>
      </c>
      <c r="AB214" s="31">
        <f t="shared" si="296"/>
        <v>0</v>
      </c>
      <c r="AC214" s="31">
        <f t="shared" si="297"/>
        <v>0</v>
      </c>
      <c r="AD214" s="31">
        <f t="shared" si="298"/>
        <v>0</v>
      </c>
      <c r="AE214" s="31">
        <f t="shared" si="299"/>
        <v>0</v>
      </c>
      <c r="AF214" s="31">
        <f t="shared" si="300"/>
        <v>0</v>
      </c>
      <c r="AG214" s="31">
        <f t="shared" si="301"/>
        <v>0</v>
      </c>
      <c r="AH214" s="26"/>
      <c r="AI214" s="17">
        <f t="shared" si="302"/>
        <v>0</v>
      </c>
      <c r="AJ214" s="17">
        <f t="shared" si="303"/>
        <v>0</v>
      </c>
      <c r="AK214" s="17">
        <f t="shared" si="304"/>
        <v>0</v>
      </c>
      <c r="AM214" s="31">
        <v>21</v>
      </c>
      <c r="AN214" s="31">
        <f>G214*0.589120900700399</f>
        <v>0</v>
      </c>
      <c r="AO214" s="31">
        <f>G214*(1-0.589120900700399)</f>
        <v>0</v>
      </c>
      <c r="AP214" s="27" t="s">
        <v>13</v>
      </c>
      <c r="AU214" s="31">
        <f t="shared" si="305"/>
        <v>0</v>
      </c>
      <c r="AV214" s="31">
        <f t="shared" si="306"/>
        <v>0</v>
      </c>
      <c r="AW214" s="31">
        <f t="shared" si="307"/>
        <v>0</v>
      </c>
      <c r="AX214" s="32" t="s">
        <v>1178</v>
      </c>
      <c r="AY214" s="32" t="s">
        <v>1208</v>
      </c>
      <c r="AZ214" s="26" t="s">
        <v>1215</v>
      </c>
      <c r="BB214" s="31">
        <f t="shared" si="308"/>
        <v>0</v>
      </c>
      <c r="BC214" s="31">
        <f t="shared" si="309"/>
        <v>0</v>
      </c>
      <c r="BD214" s="31">
        <v>0</v>
      </c>
      <c r="BE214" s="31">
        <f t="shared" si="310"/>
        <v>0.24611999999999998</v>
      </c>
      <c r="BG214" s="17">
        <f t="shared" si="311"/>
        <v>0</v>
      </c>
      <c r="BH214" s="17">
        <f t="shared" si="312"/>
        <v>0</v>
      </c>
      <c r="BI214" s="17">
        <f t="shared" si="313"/>
        <v>0</v>
      </c>
    </row>
    <row r="215" spans="1:61" ht="25.5">
      <c r="A215" s="4" t="s">
        <v>185</v>
      </c>
      <c r="B215" s="4"/>
      <c r="C215" s="4" t="s">
        <v>560</v>
      </c>
      <c r="D215" s="71" t="s">
        <v>934</v>
      </c>
      <c r="E215" s="4" t="s">
        <v>1123</v>
      </c>
      <c r="F215" s="17">
        <v>28</v>
      </c>
      <c r="G215" s="148">
        <v>0</v>
      </c>
      <c r="H215" s="17">
        <f t="shared" si="290"/>
        <v>0</v>
      </c>
      <c r="I215" s="17">
        <f t="shared" si="291"/>
        <v>0</v>
      </c>
      <c r="J215" s="17">
        <f t="shared" si="292"/>
        <v>0</v>
      </c>
      <c r="K215" s="17">
        <v>0.00487</v>
      </c>
      <c r="L215" s="17">
        <f t="shared" si="293"/>
        <v>0.13636</v>
      </c>
      <c r="Y215" s="31">
        <f t="shared" si="294"/>
        <v>0</v>
      </c>
      <c r="AA215" s="31">
        <f t="shared" si="295"/>
        <v>0</v>
      </c>
      <c r="AB215" s="31">
        <f t="shared" si="296"/>
        <v>0</v>
      </c>
      <c r="AC215" s="31">
        <f t="shared" si="297"/>
        <v>0</v>
      </c>
      <c r="AD215" s="31">
        <f t="shared" si="298"/>
        <v>0</v>
      </c>
      <c r="AE215" s="31">
        <f t="shared" si="299"/>
        <v>0</v>
      </c>
      <c r="AF215" s="31">
        <f t="shared" si="300"/>
        <v>0</v>
      </c>
      <c r="AG215" s="31">
        <f t="shared" si="301"/>
        <v>0</v>
      </c>
      <c r="AH215" s="26"/>
      <c r="AI215" s="17">
        <f t="shared" si="302"/>
        <v>0</v>
      </c>
      <c r="AJ215" s="17">
        <f t="shared" si="303"/>
        <v>0</v>
      </c>
      <c r="AK215" s="17">
        <f t="shared" si="304"/>
        <v>0</v>
      </c>
      <c r="AM215" s="31">
        <v>21</v>
      </c>
      <c r="AN215" s="31">
        <f>G215*0.672511108442416</f>
        <v>0</v>
      </c>
      <c r="AO215" s="31">
        <f>G215*(1-0.672511108442416)</f>
        <v>0</v>
      </c>
      <c r="AP215" s="27" t="s">
        <v>13</v>
      </c>
      <c r="AU215" s="31">
        <f t="shared" si="305"/>
        <v>0</v>
      </c>
      <c r="AV215" s="31">
        <f t="shared" si="306"/>
        <v>0</v>
      </c>
      <c r="AW215" s="31">
        <f t="shared" si="307"/>
        <v>0</v>
      </c>
      <c r="AX215" s="32" t="s">
        <v>1178</v>
      </c>
      <c r="AY215" s="32" t="s">
        <v>1208</v>
      </c>
      <c r="AZ215" s="26" t="s">
        <v>1215</v>
      </c>
      <c r="BB215" s="31">
        <f t="shared" si="308"/>
        <v>0</v>
      </c>
      <c r="BC215" s="31">
        <f t="shared" si="309"/>
        <v>0</v>
      </c>
      <c r="BD215" s="31">
        <v>0</v>
      </c>
      <c r="BE215" s="31">
        <f t="shared" si="310"/>
        <v>0.13636</v>
      </c>
      <c r="BG215" s="17">
        <f t="shared" si="311"/>
        <v>0</v>
      </c>
      <c r="BH215" s="17">
        <f t="shared" si="312"/>
        <v>0</v>
      </c>
      <c r="BI215" s="17">
        <f t="shared" si="313"/>
        <v>0</v>
      </c>
    </row>
    <row r="216" spans="1:61" ht="12.75">
      <c r="A216" s="4" t="s">
        <v>186</v>
      </c>
      <c r="B216" s="4"/>
      <c r="C216" s="4" t="s">
        <v>561</v>
      </c>
      <c r="D216" s="71" t="s">
        <v>935</v>
      </c>
      <c r="E216" s="4" t="s">
        <v>1120</v>
      </c>
      <c r="F216" s="17">
        <v>10</v>
      </c>
      <c r="G216" s="148">
        <v>0</v>
      </c>
      <c r="H216" s="17">
        <f t="shared" si="290"/>
        <v>0</v>
      </c>
      <c r="I216" s="17">
        <f t="shared" si="291"/>
        <v>0</v>
      </c>
      <c r="J216" s="17">
        <f t="shared" si="292"/>
        <v>0</v>
      </c>
      <c r="K216" s="17">
        <v>0.00125</v>
      </c>
      <c r="L216" s="17">
        <f t="shared" si="293"/>
        <v>0.0125</v>
      </c>
      <c r="Y216" s="31">
        <f t="shared" si="294"/>
        <v>0</v>
      </c>
      <c r="AA216" s="31">
        <f t="shared" si="295"/>
        <v>0</v>
      </c>
      <c r="AB216" s="31">
        <f t="shared" si="296"/>
        <v>0</v>
      </c>
      <c r="AC216" s="31">
        <f t="shared" si="297"/>
        <v>0</v>
      </c>
      <c r="AD216" s="31">
        <f t="shared" si="298"/>
        <v>0</v>
      </c>
      <c r="AE216" s="31">
        <f t="shared" si="299"/>
        <v>0</v>
      </c>
      <c r="AF216" s="31">
        <f t="shared" si="300"/>
        <v>0</v>
      </c>
      <c r="AG216" s="31">
        <f t="shared" si="301"/>
        <v>0</v>
      </c>
      <c r="AH216" s="26"/>
      <c r="AI216" s="17">
        <f t="shared" si="302"/>
        <v>0</v>
      </c>
      <c r="AJ216" s="17">
        <f t="shared" si="303"/>
        <v>0</v>
      </c>
      <c r="AK216" s="17">
        <f t="shared" si="304"/>
        <v>0</v>
      </c>
      <c r="AM216" s="31">
        <v>21</v>
      </c>
      <c r="AN216" s="31">
        <f>G216*0.331246203448437</f>
        <v>0</v>
      </c>
      <c r="AO216" s="31">
        <f>G216*(1-0.331246203448437)</f>
        <v>0</v>
      </c>
      <c r="AP216" s="27" t="s">
        <v>13</v>
      </c>
      <c r="AU216" s="31">
        <f t="shared" si="305"/>
        <v>0</v>
      </c>
      <c r="AV216" s="31">
        <f t="shared" si="306"/>
        <v>0</v>
      </c>
      <c r="AW216" s="31">
        <f t="shared" si="307"/>
        <v>0</v>
      </c>
      <c r="AX216" s="32" t="s">
        <v>1178</v>
      </c>
      <c r="AY216" s="32" t="s">
        <v>1208</v>
      </c>
      <c r="AZ216" s="26" t="s">
        <v>1215</v>
      </c>
      <c r="BB216" s="31">
        <f t="shared" si="308"/>
        <v>0</v>
      </c>
      <c r="BC216" s="31">
        <f t="shared" si="309"/>
        <v>0</v>
      </c>
      <c r="BD216" s="31">
        <v>0</v>
      </c>
      <c r="BE216" s="31">
        <f t="shared" si="310"/>
        <v>0.0125</v>
      </c>
      <c r="BG216" s="17">
        <f t="shared" si="311"/>
        <v>0</v>
      </c>
      <c r="BH216" s="17">
        <f t="shared" si="312"/>
        <v>0</v>
      </c>
      <c r="BI216" s="17">
        <f t="shared" si="313"/>
        <v>0</v>
      </c>
    </row>
    <row r="217" spans="1:61" ht="12.75">
      <c r="A217" s="4" t="s">
        <v>187</v>
      </c>
      <c r="B217" s="4"/>
      <c r="C217" s="4" t="s">
        <v>562</v>
      </c>
      <c r="D217" s="71" t="s">
        <v>936</v>
      </c>
      <c r="E217" s="4" t="s">
        <v>1120</v>
      </c>
      <c r="F217" s="17">
        <v>10</v>
      </c>
      <c r="G217" s="148">
        <v>0</v>
      </c>
      <c r="H217" s="17">
        <f t="shared" si="290"/>
        <v>0</v>
      </c>
      <c r="I217" s="17">
        <f t="shared" si="291"/>
        <v>0</v>
      </c>
      <c r="J217" s="17">
        <f t="shared" si="292"/>
        <v>0</v>
      </c>
      <c r="K217" s="17">
        <v>0.00188</v>
      </c>
      <c r="L217" s="17">
        <f t="shared" si="293"/>
        <v>0.0188</v>
      </c>
      <c r="Y217" s="31">
        <f t="shared" si="294"/>
        <v>0</v>
      </c>
      <c r="AA217" s="31">
        <f t="shared" si="295"/>
        <v>0</v>
      </c>
      <c r="AB217" s="31">
        <f t="shared" si="296"/>
        <v>0</v>
      </c>
      <c r="AC217" s="31">
        <f t="shared" si="297"/>
        <v>0</v>
      </c>
      <c r="AD217" s="31">
        <f t="shared" si="298"/>
        <v>0</v>
      </c>
      <c r="AE217" s="31">
        <f t="shared" si="299"/>
        <v>0</v>
      </c>
      <c r="AF217" s="31">
        <f t="shared" si="300"/>
        <v>0</v>
      </c>
      <c r="AG217" s="31">
        <f t="shared" si="301"/>
        <v>0</v>
      </c>
      <c r="AH217" s="26"/>
      <c r="AI217" s="17">
        <f t="shared" si="302"/>
        <v>0</v>
      </c>
      <c r="AJ217" s="17">
        <f t="shared" si="303"/>
        <v>0</v>
      </c>
      <c r="AK217" s="17">
        <f t="shared" si="304"/>
        <v>0</v>
      </c>
      <c r="AM217" s="31">
        <v>21</v>
      </c>
      <c r="AN217" s="31">
        <f>G217*0.381800391389433</f>
        <v>0</v>
      </c>
      <c r="AO217" s="31">
        <f>G217*(1-0.381800391389433)</f>
        <v>0</v>
      </c>
      <c r="AP217" s="27" t="s">
        <v>13</v>
      </c>
      <c r="AU217" s="31">
        <f t="shared" si="305"/>
        <v>0</v>
      </c>
      <c r="AV217" s="31">
        <f t="shared" si="306"/>
        <v>0</v>
      </c>
      <c r="AW217" s="31">
        <f t="shared" si="307"/>
        <v>0</v>
      </c>
      <c r="AX217" s="32" t="s">
        <v>1178</v>
      </c>
      <c r="AY217" s="32" t="s">
        <v>1208</v>
      </c>
      <c r="AZ217" s="26" t="s">
        <v>1215</v>
      </c>
      <c r="BB217" s="31">
        <f t="shared" si="308"/>
        <v>0</v>
      </c>
      <c r="BC217" s="31">
        <f t="shared" si="309"/>
        <v>0</v>
      </c>
      <c r="BD217" s="31">
        <v>0</v>
      </c>
      <c r="BE217" s="31">
        <f t="shared" si="310"/>
        <v>0.0188</v>
      </c>
      <c r="BG217" s="17">
        <f t="shared" si="311"/>
        <v>0</v>
      </c>
      <c r="BH217" s="17">
        <f t="shared" si="312"/>
        <v>0</v>
      </c>
      <c r="BI217" s="17">
        <f t="shared" si="313"/>
        <v>0</v>
      </c>
    </row>
    <row r="218" spans="1:61" ht="12.75">
      <c r="A218" s="4" t="s">
        <v>188</v>
      </c>
      <c r="B218" s="4"/>
      <c r="C218" s="4" t="s">
        <v>563</v>
      </c>
      <c r="D218" s="71" t="s">
        <v>937</v>
      </c>
      <c r="E218" s="4" t="s">
        <v>1123</v>
      </c>
      <c r="F218" s="17">
        <v>32</v>
      </c>
      <c r="G218" s="148">
        <v>0</v>
      </c>
      <c r="H218" s="17">
        <f t="shared" si="290"/>
        <v>0</v>
      </c>
      <c r="I218" s="17">
        <f t="shared" si="291"/>
        <v>0</v>
      </c>
      <c r="J218" s="17">
        <f t="shared" si="292"/>
        <v>0</v>
      </c>
      <c r="K218" s="17">
        <v>1E-05</v>
      </c>
      <c r="L218" s="17">
        <f t="shared" si="293"/>
        <v>0.00032</v>
      </c>
      <c r="Y218" s="31">
        <f t="shared" si="294"/>
        <v>0</v>
      </c>
      <c r="AA218" s="31">
        <f t="shared" si="295"/>
        <v>0</v>
      </c>
      <c r="AB218" s="31">
        <f t="shared" si="296"/>
        <v>0</v>
      </c>
      <c r="AC218" s="31">
        <f t="shared" si="297"/>
        <v>0</v>
      </c>
      <c r="AD218" s="31">
        <f t="shared" si="298"/>
        <v>0</v>
      </c>
      <c r="AE218" s="31">
        <f t="shared" si="299"/>
        <v>0</v>
      </c>
      <c r="AF218" s="31">
        <f t="shared" si="300"/>
        <v>0</v>
      </c>
      <c r="AG218" s="31">
        <f t="shared" si="301"/>
        <v>0</v>
      </c>
      <c r="AH218" s="26"/>
      <c r="AI218" s="17">
        <f t="shared" si="302"/>
        <v>0</v>
      </c>
      <c r="AJ218" s="17">
        <f t="shared" si="303"/>
        <v>0</v>
      </c>
      <c r="AK218" s="17">
        <f t="shared" si="304"/>
        <v>0</v>
      </c>
      <c r="AM218" s="31">
        <v>21</v>
      </c>
      <c r="AN218" s="31">
        <f>G218*0.41610268378063</f>
        <v>0</v>
      </c>
      <c r="AO218" s="31">
        <f>G218*(1-0.41610268378063)</f>
        <v>0</v>
      </c>
      <c r="AP218" s="27" t="s">
        <v>13</v>
      </c>
      <c r="AU218" s="31">
        <f t="shared" si="305"/>
        <v>0</v>
      </c>
      <c r="AV218" s="31">
        <f t="shared" si="306"/>
        <v>0</v>
      </c>
      <c r="AW218" s="31">
        <f t="shared" si="307"/>
        <v>0</v>
      </c>
      <c r="AX218" s="32" t="s">
        <v>1178</v>
      </c>
      <c r="AY218" s="32" t="s">
        <v>1208</v>
      </c>
      <c r="AZ218" s="26" t="s">
        <v>1215</v>
      </c>
      <c r="BB218" s="31">
        <f t="shared" si="308"/>
        <v>0</v>
      </c>
      <c r="BC218" s="31">
        <f t="shared" si="309"/>
        <v>0</v>
      </c>
      <c r="BD218" s="31">
        <v>0</v>
      </c>
      <c r="BE218" s="31">
        <f t="shared" si="310"/>
        <v>0.00032</v>
      </c>
      <c r="BG218" s="17">
        <f t="shared" si="311"/>
        <v>0</v>
      </c>
      <c r="BH218" s="17">
        <f t="shared" si="312"/>
        <v>0</v>
      </c>
      <c r="BI218" s="17">
        <f t="shared" si="313"/>
        <v>0</v>
      </c>
    </row>
    <row r="219" spans="1:61" ht="12.75">
      <c r="A219" s="4" t="s">
        <v>189</v>
      </c>
      <c r="B219" s="4"/>
      <c r="C219" s="4" t="s">
        <v>564</v>
      </c>
      <c r="D219" s="71" t="s">
        <v>938</v>
      </c>
      <c r="E219" s="4" t="s">
        <v>1123</v>
      </c>
      <c r="F219" s="17">
        <v>30</v>
      </c>
      <c r="G219" s="148">
        <v>0</v>
      </c>
      <c r="H219" s="17">
        <f t="shared" si="290"/>
        <v>0</v>
      </c>
      <c r="I219" s="17">
        <f t="shared" si="291"/>
        <v>0</v>
      </c>
      <c r="J219" s="17">
        <f t="shared" si="292"/>
        <v>0</v>
      </c>
      <c r="K219" s="17">
        <v>2E-05</v>
      </c>
      <c r="L219" s="17">
        <f t="shared" si="293"/>
        <v>0.0006000000000000001</v>
      </c>
      <c r="Y219" s="31">
        <f t="shared" si="294"/>
        <v>0</v>
      </c>
      <c r="AA219" s="31">
        <f t="shared" si="295"/>
        <v>0</v>
      </c>
      <c r="AB219" s="31">
        <f t="shared" si="296"/>
        <v>0</v>
      </c>
      <c r="AC219" s="31">
        <f t="shared" si="297"/>
        <v>0</v>
      </c>
      <c r="AD219" s="31">
        <f t="shared" si="298"/>
        <v>0</v>
      </c>
      <c r="AE219" s="31">
        <f t="shared" si="299"/>
        <v>0</v>
      </c>
      <c r="AF219" s="31">
        <f t="shared" si="300"/>
        <v>0</v>
      </c>
      <c r="AG219" s="31">
        <f t="shared" si="301"/>
        <v>0</v>
      </c>
      <c r="AH219" s="26"/>
      <c r="AI219" s="17">
        <f t="shared" si="302"/>
        <v>0</v>
      </c>
      <c r="AJ219" s="17">
        <f t="shared" si="303"/>
        <v>0</v>
      </c>
      <c r="AK219" s="17">
        <f t="shared" si="304"/>
        <v>0</v>
      </c>
      <c r="AM219" s="31">
        <v>21</v>
      </c>
      <c r="AN219" s="31">
        <f>G219*0.437752808988764</f>
        <v>0</v>
      </c>
      <c r="AO219" s="31">
        <f>G219*(1-0.437752808988764)</f>
        <v>0</v>
      </c>
      <c r="AP219" s="27" t="s">
        <v>13</v>
      </c>
      <c r="AU219" s="31">
        <f t="shared" si="305"/>
        <v>0</v>
      </c>
      <c r="AV219" s="31">
        <f t="shared" si="306"/>
        <v>0</v>
      </c>
      <c r="AW219" s="31">
        <f t="shared" si="307"/>
        <v>0</v>
      </c>
      <c r="AX219" s="32" t="s">
        <v>1178</v>
      </c>
      <c r="AY219" s="32" t="s">
        <v>1208</v>
      </c>
      <c r="AZ219" s="26" t="s">
        <v>1215</v>
      </c>
      <c r="BB219" s="31">
        <f t="shared" si="308"/>
        <v>0</v>
      </c>
      <c r="BC219" s="31">
        <f t="shared" si="309"/>
        <v>0</v>
      </c>
      <c r="BD219" s="31">
        <v>0</v>
      </c>
      <c r="BE219" s="31">
        <f t="shared" si="310"/>
        <v>0.0006000000000000001</v>
      </c>
      <c r="BG219" s="17">
        <f t="shared" si="311"/>
        <v>0</v>
      </c>
      <c r="BH219" s="17">
        <f t="shared" si="312"/>
        <v>0</v>
      </c>
      <c r="BI219" s="17">
        <f t="shared" si="313"/>
        <v>0</v>
      </c>
    </row>
    <row r="220" spans="1:61" ht="12.75">
      <c r="A220" s="4" t="s">
        <v>190</v>
      </c>
      <c r="B220" s="4"/>
      <c r="C220" s="4" t="s">
        <v>565</v>
      </c>
      <c r="D220" s="71" t="s">
        <v>939</v>
      </c>
      <c r="E220" s="4" t="s">
        <v>1123</v>
      </c>
      <c r="F220" s="17">
        <v>42</v>
      </c>
      <c r="G220" s="148">
        <v>0</v>
      </c>
      <c r="H220" s="17">
        <f t="shared" si="290"/>
        <v>0</v>
      </c>
      <c r="I220" s="17">
        <f t="shared" si="291"/>
        <v>0</v>
      </c>
      <c r="J220" s="17">
        <f t="shared" si="292"/>
        <v>0</v>
      </c>
      <c r="K220" s="17">
        <v>3E-05</v>
      </c>
      <c r="L220" s="17">
        <f t="shared" si="293"/>
        <v>0.00126</v>
      </c>
      <c r="Y220" s="31">
        <f t="shared" si="294"/>
        <v>0</v>
      </c>
      <c r="AA220" s="31">
        <f t="shared" si="295"/>
        <v>0</v>
      </c>
      <c r="AB220" s="31">
        <f t="shared" si="296"/>
        <v>0</v>
      </c>
      <c r="AC220" s="31">
        <f t="shared" si="297"/>
        <v>0</v>
      </c>
      <c r="AD220" s="31">
        <f t="shared" si="298"/>
        <v>0</v>
      </c>
      <c r="AE220" s="31">
        <f t="shared" si="299"/>
        <v>0</v>
      </c>
      <c r="AF220" s="31">
        <f t="shared" si="300"/>
        <v>0</v>
      </c>
      <c r="AG220" s="31">
        <f t="shared" si="301"/>
        <v>0</v>
      </c>
      <c r="AH220" s="26"/>
      <c r="AI220" s="17">
        <f t="shared" si="302"/>
        <v>0</v>
      </c>
      <c r="AJ220" s="17">
        <f t="shared" si="303"/>
        <v>0</v>
      </c>
      <c r="AK220" s="17">
        <f t="shared" si="304"/>
        <v>0</v>
      </c>
      <c r="AM220" s="31">
        <v>21</v>
      </c>
      <c r="AN220" s="31">
        <f>G220*0.4946088794926</f>
        <v>0</v>
      </c>
      <c r="AO220" s="31">
        <f>G220*(1-0.4946088794926)</f>
        <v>0</v>
      </c>
      <c r="AP220" s="27" t="s">
        <v>13</v>
      </c>
      <c r="AU220" s="31">
        <f t="shared" si="305"/>
        <v>0</v>
      </c>
      <c r="AV220" s="31">
        <f t="shared" si="306"/>
        <v>0</v>
      </c>
      <c r="AW220" s="31">
        <f t="shared" si="307"/>
        <v>0</v>
      </c>
      <c r="AX220" s="32" t="s">
        <v>1178</v>
      </c>
      <c r="AY220" s="32" t="s">
        <v>1208</v>
      </c>
      <c r="AZ220" s="26" t="s">
        <v>1215</v>
      </c>
      <c r="BB220" s="31">
        <f t="shared" si="308"/>
        <v>0</v>
      </c>
      <c r="BC220" s="31">
        <f t="shared" si="309"/>
        <v>0</v>
      </c>
      <c r="BD220" s="31">
        <v>0</v>
      </c>
      <c r="BE220" s="31">
        <f t="shared" si="310"/>
        <v>0.00126</v>
      </c>
      <c r="BG220" s="17">
        <f t="shared" si="311"/>
        <v>0</v>
      </c>
      <c r="BH220" s="17">
        <f t="shared" si="312"/>
        <v>0</v>
      </c>
      <c r="BI220" s="17">
        <f t="shared" si="313"/>
        <v>0</v>
      </c>
    </row>
    <row r="221" spans="1:61" ht="12.75">
      <c r="A221" s="4" t="s">
        <v>191</v>
      </c>
      <c r="B221" s="4"/>
      <c r="C221" s="4" t="s">
        <v>566</v>
      </c>
      <c r="D221" s="71" t="s">
        <v>940</v>
      </c>
      <c r="E221" s="4" t="s">
        <v>1123</v>
      </c>
      <c r="F221" s="17">
        <v>28</v>
      </c>
      <c r="G221" s="148">
        <v>0</v>
      </c>
      <c r="H221" s="17">
        <f t="shared" si="290"/>
        <v>0</v>
      </c>
      <c r="I221" s="17">
        <f t="shared" si="291"/>
        <v>0</v>
      </c>
      <c r="J221" s="17">
        <f t="shared" si="292"/>
        <v>0</v>
      </c>
      <c r="K221" s="17">
        <v>3E-05</v>
      </c>
      <c r="L221" s="17">
        <f t="shared" si="293"/>
        <v>0.00084</v>
      </c>
      <c r="Y221" s="31">
        <f t="shared" si="294"/>
        <v>0</v>
      </c>
      <c r="AA221" s="31">
        <f t="shared" si="295"/>
        <v>0</v>
      </c>
      <c r="AB221" s="31">
        <f t="shared" si="296"/>
        <v>0</v>
      </c>
      <c r="AC221" s="31">
        <f t="shared" si="297"/>
        <v>0</v>
      </c>
      <c r="AD221" s="31">
        <f t="shared" si="298"/>
        <v>0</v>
      </c>
      <c r="AE221" s="31">
        <f t="shared" si="299"/>
        <v>0</v>
      </c>
      <c r="AF221" s="31">
        <f t="shared" si="300"/>
        <v>0</v>
      </c>
      <c r="AG221" s="31">
        <f t="shared" si="301"/>
        <v>0</v>
      </c>
      <c r="AH221" s="26"/>
      <c r="AI221" s="17">
        <f t="shared" si="302"/>
        <v>0</v>
      </c>
      <c r="AJ221" s="17">
        <f t="shared" si="303"/>
        <v>0</v>
      </c>
      <c r="AK221" s="17">
        <f t="shared" si="304"/>
        <v>0</v>
      </c>
      <c r="AM221" s="31">
        <v>21</v>
      </c>
      <c r="AN221" s="31">
        <f>G221*0.519014084507042</f>
        <v>0</v>
      </c>
      <c r="AO221" s="31">
        <f>G221*(1-0.519014084507042)</f>
        <v>0</v>
      </c>
      <c r="AP221" s="27" t="s">
        <v>13</v>
      </c>
      <c r="AU221" s="31">
        <f t="shared" si="305"/>
        <v>0</v>
      </c>
      <c r="AV221" s="31">
        <f t="shared" si="306"/>
        <v>0</v>
      </c>
      <c r="AW221" s="31">
        <f t="shared" si="307"/>
        <v>0</v>
      </c>
      <c r="AX221" s="32" t="s">
        <v>1178</v>
      </c>
      <c r="AY221" s="32" t="s">
        <v>1208</v>
      </c>
      <c r="AZ221" s="26" t="s">
        <v>1215</v>
      </c>
      <c r="BB221" s="31">
        <f t="shared" si="308"/>
        <v>0</v>
      </c>
      <c r="BC221" s="31">
        <f t="shared" si="309"/>
        <v>0</v>
      </c>
      <c r="BD221" s="31">
        <v>0</v>
      </c>
      <c r="BE221" s="31">
        <f t="shared" si="310"/>
        <v>0.00084</v>
      </c>
      <c r="BG221" s="17">
        <f t="shared" si="311"/>
        <v>0</v>
      </c>
      <c r="BH221" s="17">
        <f t="shared" si="312"/>
        <v>0</v>
      </c>
      <c r="BI221" s="17">
        <f t="shared" si="313"/>
        <v>0</v>
      </c>
    </row>
    <row r="222" spans="1:61" ht="12.75">
      <c r="A222" s="4" t="s">
        <v>192</v>
      </c>
      <c r="B222" s="4"/>
      <c r="C222" s="4" t="s">
        <v>567</v>
      </c>
      <c r="D222" s="71" t="s">
        <v>941</v>
      </c>
      <c r="E222" s="4" t="s">
        <v>1123</v>
      </c>
      <c r="F222" s="17">
        <v>132</v>
      </c>
      <c r="G222" s="148">
        <v>0</v>
      </c>
      <c r="H222" s="17">
        <f t="shared" si="290"/>
        <v>0</v>
      </c>
      <c r="I222" s="17">
        <f t="shared" si="291"/>
        <v>0</v>
      </c>
      <c r="J222" s="17">
        <f t="shared" si="292"/>
        <v>0</v>
      </c>
      <c r="K222" s="17">
        <v>0</v>
      </c>
      <c r="L222" s="17">
        <f t="shared" si="293"/>
        <v>0</v>
      </c>
      <c r="Y222" s="31">
        <f t="shared" si="294"/>
        <v>0</v>
      </c>
      <c r="AA222" s="31">
        <f t="shared" si="295"/>
        <v>0</v>
      </c>
      <c r="AB222" s="31">
        <f t="shared" si="296"/>
        <v>0</v>
      </c>
      <c r="AC222" s="31">
        <f t="shared" si="297"/>
        <v>0</v>
      </c>
      <c r="AD222" s="31">
        <f t="shared" si="298"/>
        <v>0</v>
      </c>
      <c r="AE222" s="31">
        <f t="shared" si="299"/>
        <v>0</v>
      </c>
      <c r="AF222" s="31">
        <f t="shared" si="300"/>
        <v>0</v>
      </c>
      <c r="AG222" s="31">
        <f t="shared" si="301"/>
        <v>0</v>
      </c>
      <c r="AH222" s="26"/>
      <c r="AI222" s="17">
        <f t="shared" si="302"/>
        <v>0</v>
      </c>
      <c r="AJ222" s="17">
        <f t="shared" si="303"/>
        <v>0</v>
      </c>
      <c r="AK222" s="17">
        <f t="shared" si="304"/>
        <v>0</v>
      </c>
      <c r="AM222" s="31">
        <v>21</v>
      </c>
      <c r="AN222" s="31">
        <f>G222*0.025</f>
        <v>0</v>
      </c>
      <c r="AO222" s="31">
        <f>G222*(1-0.025)</f>
        <v>0</v>
      </c>
      <c r="AP222" s="27" t="s">
        <v>13</v>
      </c>
      <c r="AU222" s="31">
        <f t="shared" si="305"/>
        <v>0</v>
      </c>
      <c r="AV222" s="31">
        <f t="shared" si="306"/>
        <v>0</v>
      </c>
      <c r="AW222" s="31">
        <f t="shared" si="307"/>
        <v>0</v>
      </c>
      <c r="AX222" s="32" t="s">
        <v>1178</v>
      </c>
      <c r="AY222" s="32" t="s">
        <v>1208</v>
      </c>
      <c r="AZ222" s="26" t="s">
        <v>1215</v>
      </c>
      <c r="BB222" s="31">
        <f t="shared" si="308"/>
        <v>0</v>
      </c>
      <c r="BC222" s="31">
        <f t="shared" si="309"/>
        <v>0</v>
      </c>
      <c r="BD222" s="31">
        <v>0</v>
      </c>
      <c r="BE222" s="31">
        <f t="shared" si="310"/>
        <v>0</v>
      </c>
      <c r="BG222" s="17">
        <f t="shared" si="311"/>
        <v>0</v>
      </c>
      <c r="BH222" s="17">
        <f t="shared" si="312"/>
        <v>0</v>
      </c>
      <c r="BI222" s="17">
        <f t="shared" si="313"/>
        <v>0</v>
      </c>
    </row>
    <row r="223" spans="1:46" ht="12.75">
      <c r="A223" s="6"/>
      <c r="B223" s="13"/>
      <c r="C223" s="13" t="s">
        <v>568</v>
      </c>
      <c r="D223" s="73" t="s">
        <v>942</v>
      </c>
      <c r="E223" s="6" t="s">
        <v>6</v>
      </c>
      <c r="F223" s="6" t="s">
        <v>6</v>
      </c>
      <c r="G223" s="151" t="s">
        <v>6</v>
      </c>
      <c r="H223" s="34">
        <f>SUM(H224:H228)</f>
        <v>0</v>
      </c>
      <c r="I223" s="34">
        <f>SUM(I224:I228)</f>
        <v>0</v>
      </c>
      <c r="J223" s="34">
        <f>SUM(J224:J228)</f>
        <v>0</v>
      </c>
      <c r="K223" s="26"/>
      <c r="L223" s="34">
        <f>SUM(L224:L228)</f>
        <v>1.21004</v>
      </c>
      <c r="AH223" s="26"/>
      <c r="AR223" s="34">
        <f>SUM(AI224:AI228)</f>
        <v>0</v>
      </c>
      <c r="AS223" s="34">
        <f>SUM(AJ224:AJ228)</f>
        <v>0</v>
      </c>
      <c r="AT223" s="34">
        <f>SUM(AK224:AK228)</f>
        <v>0</v>
      </c>
    </row>
    <row r="224" spans="1:61" ht="12.75">
      <c r="A224" s="4" t="s">
        <v>193</v>
      </c>
      <c r="B224" s="4"/>
      <c r="C224" s="4" t="s">
        <v>569</v>
      </c>
      <c r="D224" s="71" t="s">
        <v>943</v>
      </c>
      <c r="E224" s="4" t="s">
        <v>1120</v>
      </c>
      <c r="F224" s="17">
        <v>1</v>
      </c>
      <c r="G224" s="148">
        <v>0</v>
      </c>
      <c r="H224" s="17">
        <f>F224*AN224</f>
        <v>0</v>
      </c>
      <c r="I224" s="17">
        <f>F224*AO224</f>
        <v>0</v>
      </c>
      <c r="J224" s="17">
        <f>F224*G224</f>
        <v>0</v>
      </c>
      <c r="K224" s="17">
        <v>0.01305</v>
      </c>
      <c r="L224" s="17">
        <f>F224*K224</f>
        <v>0.01305</v>
      </c>
      <c r="Y224" s="31">
        <f>IF(AP224="5",BI224,0)</f>
        <v>0</v>
      </c>
      <c r="AA224" s="31">
        <f>IF(AP224="1",BG224,0)</f>
        <v>0</v>
      </c>
      <c r="AB224" s="31">
        <f>IF(AP224="1",BH224,0)</f>
        <v>0</v>
      </c>
      <c r="AC224" s="31">
        <f>IF(AP224="7",BG224,0)</f>
        <v>0</v>
      </c>
      <c r="AD224" s="31">
        <f>IF(AP224="7",BH224,0)</f>
        <v>0</v>
      </c>
      <c r="AE224" s="31">
        <f>IF(AP224="2",BG224,0)</f>
        <v>0</v>
      </c>
      <c r="AF224" s="31">
        <f>IF(AP224="2",BH224,0)</f>
        <v>0</v>
      </c>
      <c r="AG224" s="31">
        <f>IF(AP224="0",BI224,0)</f>
        <v>0</v>
      </c>
      <c r="AH224" s="26"/>
      <c r="AI224" s="17">
        <f>IF(AM224=0,J224,0)</f>
        <v>0</v>
      </c>
      <c r="AJ224" s="17">
        <f>IF(AM224=15,J224,0)</f>
        <v>0</v>
      </c>
      <c r="AK224" s="17">
        <f>IF(AM224=21,J224,0)</f>
        <v>0</v>
      </c>
      <c r="AM224" s="31">
        <v>21</v>
      </c>
      <c r="AN224" s="31">
        <f>G224*0.949656443622542</f>
        <v>0</v>
      </c>
      <c r="AO224" s="31">
        <f>G224*(1-0.949656443622542)</f>
        <v>0</v>
      </c>
      <c r="AP224" s="27" t="s">
        <v>13</v>
      </c>
      <c r="AU224" s="31">
        <f>AV224+AW224</f>
        <v>0</v>
      </c>
      <c r="AV224" s="31">
        <f>F224*AN224</f>
        <v>0</v>
      </c>
      <c r="AW224" s="31">
        <f>F224*AO224</f>
        <v>0</v>
      </c>
      <c r="AX224" s="32" t="s">
        <v>1179</v>
      </c>
      <c r="AY224" s="32" t="s">
        <v>1208</v>
      </c>
      <c r="AZ224" s="26" t="s">
        <v>1215</v>
      </c>
      <c r="BB224" s="31">
        <f>AV224+AW224</f>
        <v>0</v>
      </c>
      <c r="BC224" s="31">
        <f>G224/(100-BD224)*100</f>
        <v>0</v>
      </c>
      <c r="BD224" s="31">
        <v>0</v>
      </c>
      <c r="BE224" s="31">
        <f>L224</f>
        <v>0.01305</v>
      </c>
      <c r="BG224" s="17">
        <f>F224*AN224</f>
        <v>0</v>
      </c>
      <c r="BH224" s="17">
        <f>F224*AO224</f>
        <v>0</v>
      </c>
      <c r="BI224" s="17">
        <f>F224*G224</f>
        <v>0</v>
      </c>
    </row>
    <row r="225" spans="1:61" ht="12.75">
      <c r="A225" s="4" t="s">
        <v>194</v>
      </c>
      <c r="B225" s="4"/>
      <c r="C225" s="4" t="s">
        <v>570</v>
      </c>
      <c r="D225" s="71" t="s">
        <v>944</v>
      </c>
      <c r="E225" s="4" t="s">
        <v>1120</v>
      </c>
      <c r="F225" s="17">
        <v>3</v>
      </c>
      <c r="G225" s="148">
        <v>0</v>
      </c>
      <c r="H225" s="17">
        <f>F225*AN225</f>
        <v>0</v>
      </c>
      <c r="I225" s="17">
        <f>F225*AO225</f>
        <v>0</v>
      </c>
      <c r="J225" s="17">
        <f>F225*G225</f>
        <v>0</v>
      </c>
      <c r="K225" s="17">
        <v>0.01566</v>
      </c>
      <c r="L225" s="17">
        <f>F225*K225</f>
        <v>0.04698</v>
      </c>
      <c r="Y225" s="31">
        <f>IF(AP225="5",BI225,0)</f>
        <v>0</v>
      </c>
      <c r="AA225" s="31">
        <f>IF(AP225="1",BG225,0)</f>
        <v>0</v>
      </c>
      <c r="AB225" s="31">
        <f>IF(AP225="1",BH225,0)</f>
        <v>0</v>
      </c>
      <c r="AC225" s="31">
        <f>IF(AP225="7",BG225,0)</f>
        <v>0</v>
      </c>
      <c r="AD225" s="31">
        <f>IF(AP225="7",BH225,0)</f>
        <v>0</v>
      </c>
      <c r="AE225" s="31">
        <f>IF(AP225="2",BG225,0)</f>
        <v>0</v>
      </c>
      <c r="AF225" s="31">
        <f>IF(AP225="2",BH225,0)</f>
        <v>0</v>
      </c>
      <c r="AG225" s="31">
        <f>IF(AP225="0",BI225,0)</f>
        <v>0</v>
      </c>
      <c r="AH225" s="26"/>
      <c r="AI225" s="17">
        <f>IF(AM225=0,J225,0)</f>
        <v>0</v>
      </c>
      <c r="AJ225" s="17">
        <f>IF(AM225=15,J225,0)</f>
        <v>0</v>
      </c>
      <c r="AK225" s="17">
        <f>IF(AM225=21,J225,0)</f>
        <v>0</v>
      </c>
      <c r="AM225" s="31">
        <v>21</v>
      </c>
      <c r="AN225" s="31">
        <f>G225*0.950684711046086</f>
        <v>0</v>
      </c>
      <c r="AO225" s="31">
        <f>G225*(1-0.950684711046086)</f>
        <v>0</v>
      </c>
      <c r="AP225" s="27" t="s">
        <v>13</v>
      </c>
      <c r="AU225" s="31">
        <f>AV225+AW225</f>
        <v>0</v>
      </c>
      <c r="AV225" s="31">
        <f>F225*AN225</f>
        <v>0</v>
      </c>
      <c r="AW225" s="31">
        <f>F225*AO225</f>
        <v>0</v>
      </c>
      <c r="AX225" s="32" t="s">
        <v>1179</v>
      </c>
      <c r="AY225" s="32" t="s">
        <v>1208</v>
      </c>
      <c r="AZ225" s="26" t="s">
        <v>1215</v>
      </c>
      <c r="BB225" s="31">
        <f>AV225+AW225</f>
        <v>0</v>
      </c>
      <c r="BC225" s="31">
        <f>G225/(100-BD225)*100</f>
        <v>0</v>
      </c>
      <c r="BD225" s="31">
        <v>0</v>
      </c>
      <c r="BE225" s="31">
        <f>L225</f>
        <v>0.04698</v>
      </c>
      <c r="BG225" s="17">
        <f>F225*AN225</f>
        <v>0</v>
      </c>
      <c r="BH225" s="17">
        <f>F225*AO225</f>
        <v>0</v>
      </c>
      <c r="BI225" s="17">
        <f>F225*G225</f>
        <v>0</v>
      </c>
    </row>
    <row r="226" spans="1:61" ht="12.75">
      <c r="A226" s="4" t="s">
        <v>195</v>
      </c>
      <c r="B226" s="4"/>
      <c r="C226" s="4" t="s">
        <v>571</v>
      </c>
      <c r="D226" s="71" t="s">
        <v>945</v>
      </c>
      <c r="E226" s="4" t="s">
        <v>1120</v>
      </c>
      <c r="F226" s="17">
        <v>2</v>
      </c>
      <c r="G226" s="148">
        <v>0</v>
      </c>
      <c r="H226" s="17">
        <f>F226*AN226</f>
        <v>0</v>
      </c>
      <c r="I226" s="17">
        <f>F226*AO226</f>
        <v>0</v>
      </c>
      <c r="J226" s="17">
        <f>F226*G226</f>
        <v>0</v>
      </c>
      <c r="K226" s="17">
        <v>0.3654</v>
      </c>
      <c r="L226" s="17">
        <f>F226*K226</f>
        <v>0.7308</v>
      </c>
      <c r="Y226" s="31">
        <f>IF(AP226="5",BI226,0)</f>
        <v>0</v>
      </c>
      <c r="AA226" s="31">
        <f>IF(AP226="1",BG226,0)</f>
        <v>0</v>
      </c>
      <c r="AB226" s="31">
        <f>IF(AP226="1",BH226,0)</f>
        <v>0</v>
      </c>
      <c r="AC226" s="31">
        <f>IF(AP226="7",BG226,0)</f>
        <v>0</v>
      </c>
      <c r="AD226" s="31">
        <f>IF(AP226="7",BH226,0)</f>
        <v>0</v>
      </c>
      <c r="AE226" s="31">
        <f>IF(AP226="2",BG226,0)</f>
        <v>0</v>
      </c>
      <c r="AF226" s="31">
        <f>IF(AP226="2",BH226,0)</f>
        <v>0</v>
      </c>
      <c r="AG226" s="31">
        <f>IF(AP226="0",BI226,0)</f>
        <v>0</v>
      </c>
      <c r="AH226" s="26"/>
      <c r="AI226" s="17">
        <f>IF(AM226=0,J226,0)</f>
        <v>0</v>
      </c>
      <c r="AJ226" s="17">
        <f>IF(AM226=15,J226,0)</f>
        <v>0</v>
      </c>
      <c r="AK226" s="17">
        <f>IF(AM226=21,J226,0)</f>
        <v>0</v>
      </c>
      <c r="AM226" s="31">
        <v>21</v>
      </c>
      <c r="AN226" s="31">
        <f>G226*0.958204204204204</f>
        <v>0</v>
      </c>
      <c r="AO226" s="31">
        <f>G226*(1-0.958204204204204)</f>
        <v>0</v>
      </c>
      <c r="AP226" s="27" t="s">
        <v>13</v>
      </c>
      <c r="AU226" s="31">
        <f>AV226+AW226</f>
        <v>0</v>
      </c>
      <c r="AV226" s="31">
        <f>F226*AN226</f>
        <v>0</v>
      </c>
      <c r="AW226" s="31">
        <f>F226*AO226</f>
        <v>0</v>
      </c>
      <c r="AX226" s="32" t="s">
        <v>1179</v>
      </c>
      <c r="AY226" s="32" t="s">
        <v>1208</v>
      </c>
      <c r="AZ226" s="26" t="s">
        <v>1215</v>
      </c>
      <c r="BB226" s="31">
        <f>AV226+AW226</f>
        <v>0</v>
      </c>
      <c r="BC226" s="31">
        <f>G226/(100-BD226)*100</f>
        <v>0</v>
      </c>
      <c r="BD226" s="31">
        <v>0</v>
      </c>
      <c r="BE226" s="31">
        <f>L226</f>
        <v>0.7308</v>
      </c>
      <c r="BG226" s="17">
        <f>F226*AN226</f>
        <v>0</v>
      </c>
      <c r="BH226" s="17">
        <f>F226*AO226</f>
        <v>0</v>
      </c>
      <c r="BI226" s="17">
        <f>F226*G226</f>
        <v>0</v>
      </c>
    </row>
    <row r="227" spans="1:61" ht="12.75">
      <c r="A227" s="4" t="s">
        <v>196</v>
      </c>
      <c r="B227" s="4"/>
      <c r="C227" s="4" t="s">
        <v>572</v>
      </c>
      <c r="D227" s="71" t="s">
        <v>946</v>
      </c>
      <c r="E227" s="4" t="s">
        <v>1120</v>
      </c>
      <c r="F227" s="17">
        <v>1</v>
      </c>
      <c r="G227" s="148">
        <v>0</v>
      </c>
      <c r="H227" s="17">
        <f>F227*AN227</f>
        <v>0</v>
      </c>
      <c r="I227" s="17">
        <f>F227*AO227</f>
        <v>0</v>
      </c>
      <c r="J227" s="17">
        <f>F227*G227</f>
        <v>0</v>
      </c>
      <c r="K227" s="17">
        <v>0.02035</v>
      </c>
      <c r="L227" s="17">
        <f>F227*K227</f>
        <v>0.02035</v>
      </c>
      <c r="Y227" s="31">
        <f>IF(AP227="5",BI227,0)</f>
        <v>0</v>
      </c>
      <c r="AA227" s="31">
        <f>IF(AP227="1",BG227,0)</f>
        <v>0</v>
      </c>
      <c r="AB227" s="31">
        <f>IF(AP227="1",BH227,0)</f>
        <v>0</v>
      </c>
      <c r="AC227" s="31">
        <f>IF(AP227="7",BG227,0)</f>
        <v>0</v>
      </c>
      <c r="AD227" s="31">
        <f>IF(AP227="7",BH227,0)</f>
        <v>0</v>
      </c>
      <c r="AE227" s="31">
        <f>IF(AP227="2",BG227,0)</f>
        <v>0</v>
      </c>
      <c r="AF227" s="31">
        <f>IF(AP227="2",BH227,0)</f>
        <v>0</v>
      </c>
      <c r="AG227" s="31">
        <f>IF(AP227="0",BI227,0)</f>
        <v>0</v>
      </c>
      <c r="AH227" s="26"/>
      <c r="AI227" s="17">
        <f>IF(AM227=0,J227,0)</f>
        <v>0</v>
      </c>
      <c r="AJ227" s="17">
        <f>IF(AM227=15,J227,0)</f>
        <v>0</v>
      </c>
      <c r="AK227" s="17">
        <f>IF(AM227=21,J227,0)</f>
        <v>0</v>
      </c>
      <c r="AM227" s="31">
        <v>21</v>
      </c>
      <c r="AN227" s="31">
        <f>G227*0.957674065420561</f>
        <v>0</v>
      </c>
      <c r="AO227" s="31">
        <f>G227*(1-0.957674065420561)</f>
        <v>0</v>
      </c>
      <c r="AP227" s="27" t="s">
        <v>13</v>
      </c>
      <c r="AU227" s="31">
        <f>AV227+AW227</f>
        <v>0</v>
      </c>
      <c r="AV227" s="31">
        <f>F227*AN227</f>
        <v>0</v>
      </c>
      <c r="AW227" s="31">
        <f>F227*AO227</f>
        <v>0</v>
      </c>
      <c r="AX227" s="32" t="s">
        <v>1179</v>
      </c>
      <c r="AY227" s="32" t="s">
        <v>1208</v>
      </c>
      <c r="AZ227" s="26" t="s">
        <v>1215</v>
      </c>
      <c r="BB227" s="31">
        <f>AV227+AW227</f>
        <v>0</v>
      </c>
      <c r="BC227" s="31">
        <f>G227/(100-BD227)*100</f>
        <v>0</v>
      </c>
      <c r="BD227" s="31">
        <v>0</v>
      </c>
      <c r="BE227" s="31">
        <f>L227</f>
        <v>0.02035</v>
      </c>
      <c r="BG227" s="17">
        <f>F227*AN227</f>
        <v>0</v>
      </c>
      <c r="BH227" s="17">
        <f>F227*AO227</f>
        <v>0</v>
      </c>
      <c r="BI227" s="17">
        <f>F227*G227</f>
        <v>0</v>
      </c>
    </row>
    <row r="228" spans="1:61" ht="12.75">
      <c r="A228" s="4" t="s">
        <v>197</v>
      </c>
      <c r="B228" s="4"/>
      <c r="C228" s="4" t="s">
        <v>573</v>
      </c>
      <c r="D228" s="71" t="s">
        <v>947</v>
      </c>
      <c r="E228" s="4" t="s">
        <v>1120</v>
      </c>
      <c r="F228" s="17">
        <v>7</v>
      </c>
      <c r="G228" s="148">
        <v>0</v>
      </c>
      <c r="H228" s="17">
        <f>F228*AN228</f>
        <v>0</v>
      </c>
      <c r="I228" s="17">
        <f>F228*AO228</f>
        <v>0</v>
      </c>
      <c r="J228" s="17">
        <f>F228*G228</f>
        <v>0</v>
      </c>
      <c r="K228" s="17">
        <v>0.05698</v>
      </c>
      <c r="L228" s="17">
        <f>F228*K228</f>
        <v>0.39886</v>
      </c>
      <c r="Y228" s="31">
        <f>IF(AP228="5",BI228,0)</f>
        <v>0</v>
      </c>
      <c r="AA228" s="31">
        <f>IF(AP228="1",BG228,0)</f>
        <v>0</v>
      </c>
      <c r="AB228" s="31">
        <f>IF(AP228="1",BH228,0)</f>
        <v>0</v>
      </c>
      <c r="AC228" s="31">
        <f>IF(AP228="7",BG228,0)</f>
        <v>0</v>
      </c>
      <c r="AD228" s="31">
        <f>IF(AP228="7",BH228,0)</f>
        <v>0</v>
      </c>
      <c r="AE228" s="31">
        <f>IF(AP228="2",BG228,0)</f>
        <v>0</v>
      </c>
      <c r="AF228" s="31">
        <f>IF(AP228="2",BH228,0)</f>
        <v>0</v>
      </c>
      <c r="AG228" s="31">
        <f>IF(AP228="0",BI228,0)</f>
        <v>0</v>
      </c>
      <c r="AH228" s="26"/>
      <c r="AI228" s="17">
        <f>IF(AM228=0,J228,0)</f>
        <v>0</v>
      </c>
      <c r="AJ228" s="17">
        <f>IF(AM228=15,J228,0)</f>
        <v>0</v>
      </c>
      <c r="AK228" s="17">
        <f>IF(AM228=21,J228,0)</f>
        <v>0</v>
      </c>
      <c r="AM228" s="31">
        <v>21</v>
      </c>
      <c r="AN228" s="31">
        <f>G228*0.964184560780834</f>
        <v>0</v>
      </c>
      <c r="AO228" s="31">
        <f>G228*(1-0.964184560780834)</f>
        <v>0</v>
      </c>
      <c r="AP228" s="27" t="s">
        <v>13</v>
      </c>
      <c r="AU228" s="31">
        <f>AV228+AW228</f>
        <v>0</v>
      </c>
      <c r="AV228" s="31">
        <f>F228*AN228</f>
        <v>0</v>
      </c>
      <c r="AW228" s="31">
        <f>F228*AO228</f>
        <v>0</v>
      </c>
      <c r="AX228" s="32" t="s">
        <v>1179</v>
      </c>
      <c r="AY228" s="32" t="s">
        <v>1208</v>
      </c>
      <c r="AZ228" s="26" t="s">
        <v>1215</v>
      </c>
      <c r="BB228" s="31">
        <f>AV228+AW228</f>
        <v>0</v>
      </c>
      <c r="BC228" s="31">
        <f>G228/(100-BD228)*100</f>
        <v>0</v>
      </c>
      <c r="BD228" s="31">
        <v>0</v>
      </c>
      <c r="BE228" s="31">
        <f>L228</f>
        <v>0.39886</v>
      </c>
      <c r="BG228" s="17">
        <f>F228*AN228</f>
        <v>0</v>
      </c>
      <c r="BH228" s="17">
        <f>F228*AO228</f>
        <v>0</v>
      </c>
      <c r="BI228" s="17">
        <f>F228*G228</f>
        <v>0</v>
      </c>
    </row>
    <row r="229" spans="1:46" ht="12.75">
      <c r="A229" s="6"/>
      <c r="B229" s="13"/>
      <c r="C229" s="13" t="s">
        <v>574</v>
      </c>
      <c r="D229" s="73" t="s">
        <v>948</v>
      </c>
      <c r="E229" s="6" t="s">
        <v>6</v>
      </c>
      <c r="F229" s="6" t="s">
        <v>6</v>
      </c>
      <c r="G229" s="151" t="s">
        <v>6</v>
      </c>
      <c r="H229" s="34">
        <f>SUM(H230:H233)</f>
        <v>0</v>
      </c>
      <c r="I229" s="34">
        <f>SUM(I230:I233)</f>
        <v>0</v>
      </c>
      <c r="J229" s="34">
        <f>SUM(J230:J233)</f>
        <v>0</v>
      </c>
      <c r="K229" s="26"/>
      <c r="L229" s="34">
        <f>SUM(L230:L233)</f>
        <v>0.573792</v>
      </c>
      <c r="AH229" s="26"/>
      <c r="AR229" s="34">
        <f>SUM(AI230:AI233)</f>
        <v>0</v>
      </c>
      <c r="AS229" s="34">
        <f>SUM(AJ230:AJ233)</f>
        <v>0</v>
      </c>
      <c r="AT229" s="34">
        <f>SUM(AK230:AK233)</f>
        <v>0</v>
      </c>
    </row>
    <row r="230" spans="1:61" ht="12.75">
      <c r="A230" s="4" t="s">
        <v>198</v>
      </c>
      <c r="B230" s="4"/>
      <c r="C230" s="4" t="s">
        <v>575</v>
      </c>
      <c r="D230" s="71" t="s">
        <v>949</v>
      </c>
      <c r="E230" s="4" t="s">
        <v>1121</v>
      </c>
      <c r="F230" s="17">
        <v>213</v>
      </c>
      <c r="G230" s="148">
        <v>0</v>
      </c>
      <c r="H230" s="17">
        <f>F230*AN230</f>
        <v>0</v>
      </c>
      <c r="I230" s="17">
        <f>F230*AO230</f>
        <v>0</v>
      </c>
      <c r="J230" s="17">
        <f>F230*G230</f>
        <v>0</v>
      </c>
      <c r="K230" s="17">
        <v>0</v>
      </c>
      <c r="L230" s="17">
        <f>F230*K230</f>
        <v>0</v>
      </c>
      <c r="Y230" s="31">
        <f>IF(AP230="5",BI230,0)</f>
        <v>0</v>
      </c>
      <c r="AA230" s="31">
        <f>IF(AP230="1",BG230,0)</f>
        <v>0</v>
      </c>
      <c r="AB230" s="31">
        <f>IF(AP230="1",BH230,0)</f>
        <v>0</v>
      </c>
      <c r="AC230" s="31">
        <f>IF(AP230="7",BG230,0)</f>
        <v>0</v>
      </c>
      <c r="AD230" s="31">
        <f>IF(AP230="7",BH230,0)</f>
        <v>0</v>
      </c>
      <c r="AE230" s="31">
        <f>IF(AP230="2",BG230,0)</f>
        <v>0</v>
      </c>
      <c r="AF230" s="31">
        <f>IF(AP230="2",BH230,0)</f>
        <v>0</v>
      </c>
      <c r="AG230" s="31">
        <f>IF(AP230="0",BI230,0)</f>
        <v>0</v>
      </c>
      <c r="AH230" s="26"/>
      <c r="AI230" s="17">
        <f>IF(AM230=0,J230,0)</f>
        <v>0</v>
      </c>
      <c r="AJ230" s="17">
        <f>IF(AM230=15,J230,0)</f>
        <v>0</v>
      </c>
      <c r="AK230" s="17">
        <f>IF(AM230=21,J230,0)</f>
        <v>0</v>
      </c>
      <c r="AM230" s="31">
        <v>21</v>
      </c>
      <c r="AN230" s="31">
        <f>G230*0.582946570704693</f>
        <v>0</v>
      </c>
      <c r="AO230" s="31">
        <f>G230*(1-0.582946570704693)</f>
        <v>0</v>
      </c>
      <c r="AP230" s="27" t="s">
        <v>13</v>
      </c>
      <c r="AU230" s="31">
        <f>AV230+AW230</f>
        <v>0</v>
      </c>
      <c r="AV230" s="31">
        <f>F230*AN230</f>
        <v>0</v>
      </c>
      <c r="AW230" s="31">
        <f>F230*AO230</f>
        <v>0</v>
      </c>
      <c r="AX230" s="32" t="s">
        <v>1180</v>
      </c>
      <c r="AY230" s="32" t="s">
        <v>1209</v>
      </c>
      <c r="AZ230" s="26" t="s">
        <v>1215</v>
      </c>
      <c r="BB230" s="31">
        <f>AV230+AW230</f>
        <v>0</v>
      </c>
      <c r="BC230" s="31">
        <f>G230/(100-BD230)*100</f>
        <v>0</v>
      </c>
      <c r="BD230" s="31">
        <v>0</v>
      </c>
      <c r="BE230" s="31">
        <f>L230</f>
        <v>0</v>
      </c>
      <c r="BG230" s="17">
        <f>F230*AN230</f>
        <v>0</v>
      </c>
      <c r="BH230" s="17">
        <f>F230*AO230</f>
        <v>0</v>
      </c>
      <c r="BI230" s="17">
        <f>F230*G230</f>
        <v>0</v>
      </c>
    </row>
    <row r="231" spans="1:61" ht="12.75">
      <c r="A231" s="4" t="s">
        <v>199</v>
      </c>
      <c r="B231" s="4"/>
      <c r="C231" s="4" t="s">
        <v>576</v>
      </c>
      <c r="D231" s="71" t="s">
        <v>950</v>
      </c>
      <c r="E231" s="4" t="s">
        <v>1121</v>
      </c>
      <c r="F231" s="17">
        <v>198</v>
      </c>
      <c r="G231" s="148">
        <v>0</v>
      </c>
      <c r="H231" s="17">
        <f>F231*AN231</f>
        <v>0</v>
      </c>
      <c r="I231" s="17">
        <f>F231*AO231</f>
        <v>0</v>
      </c>
      <c r="J231" s="17">
        <f>F231*G231</f>
        <v>0</v>
      </c>
      <c r="K231" s="17">
        <v>0.00153</v>
      </c>
      <c r="L231" s="17">
        <f>F231*K231</f>
        <v>0.30294</v>
      </c>
      <c r="Y231" s="31">
        <f>IF(AP231="5",BI231,0)</f>
        <v>0</v>
      </c>
      <c r="AA231" s="31">
        <f>IF(AP231="1",BG231,0)</f>
        <v>0</v>
      </c>
      <c r="AB231" s="31">
        <f>IF(AP231="1",BH231,0)</f>
        <v>0</v>
      </c>
      <c r="AC231" s="31">
        <f>IF(AP231="7",BG231,0)</f>
        <v>0</v>
      </c>
      <c r="AD231" s="31">
        <f>IF(AP231="7",BH231,0)</f>
        <v>0</v>
      </c>
      <c r="AE231" s="31">
        <f>IF(AP231="2",BG231,0)</f>
        <v>0</v>
      </c>
      <c r="AF231" s="31">
        <f>IF(AP231="2",BH231,0)</f>
        <v>0</v>
      </c>
      <c r="AG231" s="31">
        <f>IF(AP231="0",BI231,0)</f>
        <v>0</v>
      </c>
      <c r="AH231" s="26"/>
      <c r="AI231" s="17">
        <f>IF(AM231=0,J231,0)</f>
        <v>0</v>
      </c>
      <c r="AJ231" s="17">
        <f>IF(AM231=15,J231,0)</f>
        <v>0</v>
      </c>
      <c r="AK231" s="17">
        <f>IF(AM231=21,J231,0)</f>
        <v>0</v>
      </c>
      <c r="AM231" s="31">
        <v>21</v>
      </c>
      <c r="AN231" s="31">
        <f>G231*0.426689976689977</f>
        <v>0</v>
      </c>
      <c r="AO231" s="31">
        <f>G231*(1-0.426689976689977)</f>
        <v>0</v>
      </c>
      <c r="AP231" s="27" t="s">
        <v>13</v>
      </c>
      <c r="AU231" s="31">
        <f>AV231+AW231</f>
        <v>0</v>
      </c>
      <c r="AV231" s="31">
        <f>F231*AN231</f>
        <v>0</v>
      </c>
      <c r="AW231" s="31">
        <f>F231*AO231</f>
        <v>0</v>
      </c>
      <c r="AX231" s="32" t="s">
        <v>1180</v>
      </c>
      <c r="AY231" s="32" t="s">
        <v>1209</v>
      </c>
      <c r="AZ231" s="26" t="s">
        <v>1215</v>
      </c>
      <c r="BB231" s="31">
        <f>AV231+AW231</f>
        <v>0</v>
      </c>
      <c r="BC231" s="31">
        <f>G231/(100-BD231)*100</f>
        <v>0</v>
      </c>
      <c r="BD231" s="31">
        <v>0</v>
      </c>
      <c r="BE231" s="31">
        <f>L231</f>
        <v>0.30294</v>
      </c>
      <c r="BG231" s="17">
        <f>F231*AN231</f>
        <v>0</v>
      </c>
      <c r="BH231" s="17">
        <f>F231*AO231</f>
        <v>0</v>
      </c>
      <c r="BI231" s="17">
        <f>F231*G231</f>
        <v>0</v>
      </c>
    </row>
    <row r="232" spans="1:61" ht="12.75">
      <c r="A232" s="4" t="s">
        <v>200</v>
      </c>
      <c r="B232" s="4"/>
      <c r="C232" s="4" t="s">
        <v>577</v>
      </c>
      <c r="D232" s="71" t="s">
        <v>951</v>
      </c>
      <c r="E232" s="4" t="s">
        <v>1123</v>
      </c>
      <c r="F232" s="17">
        <v>60</v>
      </c>
      <c r="G232" s="148">
        <v>0</v>
      </c>
      <c r="H232" s="17">
        <f>F232*AN232</f>
        <v>0</v>
      </c>
      <c r="I232" s="17">
        <f>F232*AO232</f>
        <v>0</v>
      </c>
      <c r="J232" s="17">
        <f>F232*G232</f>
        <v>0</v>
      </c>
      <c r="K232" s="17">
        <v>0.00193</v>
      </c>
      <c r="L232" s="17">
        <f>F232*K232</f>
        <v>0.1158</v>
      </c>
      <c r="Y232" s="31">
        <f>IF(AP232="5",BI232,0)</f>
        <v>0</v>
      </c>
      <c r="AA232" s="31">
        <f>IF(AP232="1",BG232,0)</f>
        <v>0</v>
      </c>
      <c r="AB232" s="31">
        <f>IF(AP232="1",BH232,0)</f>
        <v>0</v>
      </c>
      <c r="AC232" s="31">
        <f>IF(AP232="7",BG232,0)</f>
        <v>0</v>
      </c>
      <c r="AD232" s="31">
        <f>IF(AP232="7",BH232,0)</f>
        <v>0</v>
      </c>
      <c r="AE232" s="31">
        <f>IF(AP232="2",BG232,0)</f>
        <v>0</v>
      </c>
      <c r="AF232" s="31">
        <f>IF(AP232="2",BH232,0)</f>
        <v>0</v>
      </c>
      <c r="AG232" s="31">
        <f>IF(AP232="0",BI232,0)</f>
        <v>0</v>
      </c>
      <c r="AH232" s="26"/>
      <c r="AI232" s="17">
        <f>IF(AM232=0,J232,0)</f>
        <v>0</v>
      </c>
      <c r="AJ232" s="17">
        <f>IF(AM232=15,J232,0)</f>
        <v>0</v>
      </c>
      <c r="AK232" s="17">
        <f>IF(AM232=21,J232,0)</f>
        <v>0</v>
      </c>
      <c r="AM232" s="31">
        <v>21</v>
      </c>
      <c r="AN232" s="31">
        <f>G232*0.274692874692875</f>
        <v>0</v>
      </c>
      <c r="AO232" s="31">
        <f>G232*(1-0.274692874692875)</f>
        <v>0</v>
      </c>
      <c r="AP232" s="27" t="s">
        <v>13</v>
      </c>
      <c r="AU232" s="31">
        <f>AV232+AW232</f>
        <v>0</v>
      </c>
      <c r="AV232" s="31">
        <f>F232*AN232</f>
        <v>0</v>
      </c>
      <c r="AW232" s="31">
        <f>F232*AO232</f>
        <v>0</v>
      </c>
      <c r="AX232" s="32" t="s">
        <v>1180</v>
      </c>
      <c r="AY232" s="32" t="s">
        <v>1209</v>
      </c>
      <c r="AZ232" s="26" t="s">
        <v>1215</v>
      </c>
      <c r="BB232" s="31">
        <f>AV232+AW232</f>
        <v>0</v>
      </c>
      <c r="BC232" s="31">
        <f>G232/(100-BD232)*100</f>
        <v>0</v>
      </c>
      <c r="BD232" s="31">
        <v>0</v>
      </c>
      <c r="BE232" s="31">
        <f>L232</f>
        <v>0.1158</v>
      </c>
      <c r="BG232" s="17">
        <f>F232*AN232</f>
        <v>0</v>
      </c>
      <c r="BH232" s="17">
        <f>F232*AO232</f>
        <v>0</v>
      </c>
      <c r="BI232" s="17">
        <f>F232*G232</f>
        <v>0</v>
      </c>
    </row>
    <row r="233" spans="1:61" ht="12.75">
      <c r="A233" s="4" t="s">
        <v>201</v>
      </c>
      <c r="B233" s="4"/>
      <c r="C233" s="4" t="s">
        <v>578</v>
      </c>
      <c r="D233" s="71" t="s">
        <v>952</v>
      </c>
      <c r="E233" s="4" t="s">
        <v>1123</v>
      </c>
      <c r="F233" s="17">
        <v>29.2</v>
      </c>
      <c r="G233" s="148">
        <v>0</v>
      </c>
      <c r="H233" s="17">
        <f>F233*AN233</f>
        <v>0</v>
      </c>
      <c r="I233" s="17">
        <f>F233*AO233</f>
        <v>0</v>
      </c>
      <c r="J233" s="17">
        <f>F233*G233</f>
        <v>0</v>
      </c>
      <c r="K233" s="17">
        <v>0.00531</v>
      </c>
      <c r="L233" s="17">
        <f>F233*K233</f>
        <v>0.155052</v>
      </c>
      <c r="Y233" s="31">
        <f>IF(AP233="5",BI233,0)</f>
        <v>0</v>
      </c>
      <c r="AA233" s="31">
        <f>IF(AP233="1",BG233,0)</f>
        <v>0</v>
      </c>
      <c r="AB233" s="31">
        <f>IF(AP233="1",BH233,0)</f>
        <v>0</v>
      </c>
      <c r="AC233" s="31">
        <f>IF(AP233="7",BG233,0)</f>
        <v>0</v>
      </c>
      <c r="AD233" s="31">
        <f>IF(AP233="7",BH233,0)</f>
        <v>0</v>
      </c>
      <c r="AE233" s="31">
        <f>IF(AP233="2",BG233,0)</f>
        <v>0</v>
      </c>
      <c r="AF233" s="31">
        <f>IF(AP233="2",BH233,0)</f>
        <v>0</v>
      </c>
      <c r="AG233" s="31">
        <f>IF(AP233="0",BI233,0)</f>
        <v>0</v>
      </c>
      <c r="AH233" s="26"/>
      <c r="AI233" s="17">
        <f>IF(AM233=0,J233,0)</f>
        <v>0</v>
      </c>
      <c r="AJ233" s="17">
        <f>IF(AM233=15,J233,0)</f>
        <v>0</v>
      </c>
      <c r="AK233" s="17">
        <f>IF(AM233=21,J233,0)</f>
        <v>0</v>
      </c>
      <c r="AM233" s="31">
        <v>21</v>
      </c>
      <c r="AN233" s="31">
        <f>G233*0.415772471685665</f>
        <v>0</v>
      </c>
      <c r="AO233" s="31">
        <f>G233*(1-0.415772471685665)</f>
        <v>0</v>
      </c>
      <c r="AP233" s="27" t="s">
        <v>13</v>
      </c>
      <c r="AU233" s="31">
        <f>AV233+AW233</f>
        <v>0</v>
      </c>
      <c r="AV233" s="31">
        <f>F233*AN233</f>
        <v>0</v>
      </c>
      <c r="AW233" s="31">
        <f>F233*AO233</f>
        <v>0</v>
      </c>
      <c r="AX233" s="32" t="s">
        <v>1180</v>
      </c>
      <c r="AY233" s="32" t="s">
        <v>1209</v>
      </c>
      <c r="AZ233" s="26" t="s">
        <v>1215</v>
      </c>
      <c r="BB233" s="31">
        <f>AV233+AW233</f>
        <v>0</v>
      </c>
      <c r="BC233" s="31">
        <f>G233/(100-BD233)*100</f>
        <v>0</v>
      </c>
      <c r="BD233" s="31">
        <v>0</v>
      </c>
      <c r="BE233" s="31">
        <f>L233</f>
        <v>0.155052</v>
      </c>
      <c r="BG233" s="17">
        <f>F233*AN233</f>
        <v>0</v>
      </c>
      <c r="BH233" s="17">
        <f>F233*AO233</f>
        <v>0</v>
      </c>
      <c r="BI233" s="17">
        <f>F233*G233</f>
        <v>0</v>
      </c>
    </row>
    <row r="234" spans="1:46" ht="12.75">
      <c r="A234" s="6"/>
      <c r="B234" s="13"/>
      <c r="C234" s="13" t="s">
        <v>579</v>
      </c>
      <c r="D234" s="73" t="s">
        <v>953</v>
      </c>
      <c r="E234" s="6" t="s">
        <v>6</v>
      </c>
      <c r="F234" s="6" t="s">
        <v>6</v>
      </c>
      <c r="G234" s="151" t="s">
        <v>6</v>
      </c>
      <c r="H234" s="34">
        <f>SUM(H235:H236)</f>
        <v>0</v>
      </c>
      <c r="I234" s="34">
        <f>SUM(I235:I236)</f>
        <v>0</v>
      </c>
      <c r="J234" s="34">
        <f>SUM(J235:J236)</f>
        <v>0</v>
      </c>
      <c r="K234" s="26"/>
      <c r="L234" s="34">
        <f>SUM(L235:L236)</f>
        <v>0.42</v>
      </c>
      <c r="AH234" s="26"/>
      <c r="AR234" s="34">
        <f>SUM(AI235:AI236)</f>
        <v>0</v>
      </c>
      <c r="AS234" s="34">
        <f>SUM(AJ235:AJ236)</f>
        <v>0</v>
      </c>
      <c r="AT234" s="34">
        <f>SUM(AK235:AK236)</f>
        <v>0</v>
      </c>
    </row>
    <row r="235" spans="1:61" ht="25.5">
      <c r="A235" s="4" t="s">
        <v>202</v>
      </c>
      <c r="B235" s="4"/>
      <c r="C235" s="4" t="s">
        <v>580</v>
      </c>
      <c r="D235" s="71" t="s">
        <v>954</v>
      </c>
      <c r="E235" s="4" t="s">
        <v>1123</v>
      </c>
      <c r="F235" s="17">
        <v>198</v>
      </c>
      <c r="G235" s="148">
        <v>0</v>
      </c>
      <c r="H235" s="17">
        <f>F235*AN235</f>
        <v>0</v>
      </c>
      <c r="I235" s="17">
        <f>F235*AO235</f>
        <v>0</v>
      </c>
      <c r="J235" s="17">
        <f>F235*G235</f>
        <v>0</v>
      </c>
      <c r="K235" s="17">
        <v>0</v>
      </c>
      <c r="L235" s="17">
        <f>F235*K235</f>
        <v>0</v>
      </c>
      <c r="Y235" s="31">
        <f>IF(AP235="5",BI235,0)</f>
        <v>0</v>
      </c>
      <c r="AA235" s="31">
        <f>IF(AP235="1",BG235,0)</f>
        <v>0</v>
      </c>
      <c r="AB235" s="31">
        <f>IF(AP235="1",BH235,0)</f>
        <v>0</v>
      </c>
      <c r="AC235" s="31">
        <f>IF(AP235="7",BG235,0)</f>
        <v>0</v>
      </c>
      <c r="AD235" s="31">
        <f>IF(AP235="7",BH235,0)</f>
        <v>0</v>
      </c>
      <c r="AE235" s="31">
        <f>IF(AP235="2",BG235,0)</f>
        <v>0</v>
      </c>
      <c r="AF235" s="31">
        <f>IF(AP235="2",BH235,0)</f>
        <v>0</v>
      </c>
      <c r="AG235" s="31">
        <f>IF(AP235="0",BI235,0)</f>
        <v>0</v>
      </c>
      <c r="AH235" s="26"/>
      <c r="AI235" s="17">
        <f>IF(AM235=0,J235,0)</f>
        <v>0</v>
      </c>
      <c r="AJ235" s="17">
        <f>IF(AM235=15,J235,0)</f>
        <v>0</v>
      </c>
      <c r="AK235" s="17">
        <f>IF(AM235=21,J235,0)</f>
        <v>0</v>
      </c>
      <c r="AM235" s="31">
        <v>21</v>
      </c>
      <c r="AN235" s="31">
        <f>G235*0.168539325842697</f>
        <v>0</v>
      </c>
      <c r="AO235" s="31">
        <f>G235*(1-0.168539325842697)</f>
        <v>0</v>
      </c>
      <c r="AP235" s="27" t="s">
        <v>13</v>
      </c>
      <c r="AU235" s="31">
        <f>AV235+AW235</f>
        <v>0</v>
      </c>
      <c r="AV235" s="31">
        <f>F235*AN235</f>
        <v>0</v>
      </c>
      <c r="AW235" s="31">
        <f>F235*AO235</f>
        <v>0</v>
      </c>
      <c r="AX235" s="32" t="s">
        <v>1181</v>
      </c>
      <c r="AY235" s="32" t="s">
        <v>1209</v>
      </c>
      <c r="AZ235" s="26" t="s">
        <v>1215</v>
      </c>
      <c r="BB235" s="31">
        <f>AV235+AW235</f>
        <v>0</v>
      </c>
      <c r="BC235" s="31">
        <f>G235/(100-BD235)*100</f>
        <v>0</v>
      </c>
      <c r="BD235" s="31">
        <v>0</v>
      </c>
      <c r="BE235" s="31">
        <f>L235</f>
        <v>0</v>
      </c>
      <c r="BG235" s="17">
        <f>F235*AN235</f>
        <v>0</v>
      </c>
      <c r="BH235" s="17">
        <f>F235*AO235</f>
        <v>0</v>
      </c>
      <c r="BI235" s="17">
        <f>F235*G235</f>
        <v>0</v>
      </c>
    </row>
    <row r="236" spans="1:61" ht="12.75">
      <c r="A236" s="5" t="s">
        <v>203</v>
      </c>
      <c r="B236" s="5"/>
      <c r="C236" s="5" t="s">
        <v>581</v>
      </c>
      <c r="D236" s="72" t="s">
        <v>955</v>
      </c>
      <c r="E236" s="5" t="s">
        <v>1120</v>
      </c>
      <c r="F236" s="18">
        <v>15</v>
      </c>
      <c r="G236" s="149">
        <v>0</v>
      </c>
      <c r="H236" s="18">
        <f>F236*AN236</f>
        <v>0</v>
      </c>
      <c r="I236" s="18">
        <f>F236*AO236</f>
        <v>0</v>
      </c>
      <c r="J236" s="18">
        <f>F236*G236</f>
        <v>0</v>
      </c>
      <c r="K236" s="18">
        <v>0.028</v>
      </c>
      <c r="L236" s="18">
        <f>F236*K236</f>
        <v>0.42</v>
      </c>
      <c r="Y236" s="31">
        <f>IF(AP236="5",BI236,0)</f>
        <v>0</v>
      </c>
      <c r="AA236" s="31">
        <f>IF(AP236="1",BG236,0)</f>
        <v>0</v>
      </c>
      <c r="AB236" s="31">
        <f>IF(AP236="1",BH236,0)</f>
        <v>0</v>
      </c>
      <c r="AC236" s="31">
        <f>IF(AP236="7",BG236,0)</f>
        <v>0</v>
      </c>
      <c r="AD236" s="31">
        <f>IF(AP236="7",BH236,0)</f>
        <v>0</v>
      </c>
      <c r="AE236" s="31">
        <f>IF(AP236="2",BG236,0)</f>
        <v>0</v>
      </c>
      <c r="AF236" s="31">
        <f>IF(AP236="2",BH236,0)</f>
        <v>0</v>
      </c>
      <c r="AG236" s="31">
        <f>IF(AP236="0",BI236,0)</f>
        <v>0</v>
      </c>
      <c r="AH236" s="26"/>
      <c r="AI236" s="18">
        <f>IF(AM236=0,J236,0)</f>
        <v>0</v>
      </c>
      <c r="AJ236" s="18">
        <f>IF(AM236=15,J236,0)</f>
        <v>0</v>
      </c>
      <c r="AK236" s="18">
        <f>IF(AM236=21,J236,0)</f>
        <v>0</v>
      </c>
      <c r="AM236" s="31">
        <v>21</v>
      </c>
      <c r="AN236" s="31">
        <f>G236*1</f>
        <v>0</v>
      </c>
      <c r="AO236" s="31">
        <f>G236*(1-1)</f>
        <v>0</v>
      </c>
      <c r="AP236" s="28" t="s">
        <v>13</v>
      </c>
      <c r="AU236" s="31">
        <f>AV236+AW236</f>
        <v>0</v>
      </c>
      <c r="AV236" s="31">
        <f>F236*AN236</f>
        <v>0</v>
      </c>
      <c r="AW236" s="31">
        <f>F236*AO236</f>
        <v>0</v>
      </c>
      <c r="AX236" s="32" t="s">
        <v>1181</v>
      </c>
      <c r="AY236" s="32" t="s">
        <v>1209</v>
      </c>
      <c r="AZ236" s="26" t="s">
        <v>1215</v>
      </c>
      <c r="BB236" s="31">
        <f>AV236+AW236</f>
        <v>0</v>
      </c>
      <c r="BC236" s="31">
        <f>G236/(100-BD236)*100</f>
        <v>0</v>
      </c>
      <c r="BD236" s="31">
        <v>0</v>
      </c>
      <c r="BE236" s="31">
        <f>L236</f>
        <v>0.42</v>
      </c>
      <c r="BG236" s="18">
        <f>F236*AN236</f>
        <v>0</v>
      </c>
      <c r="BH236" s="18">
        <f>F236*AO236</f>
        <v>0</v>
      </c>
      <c r="BI236" s="18">
        <f>F236*G236</f>
        <v>0</v>
      </c>
    </row>
    <row r="237" spans="1:46" ht="12.75">
      <c r="A237" s="6"/>
      <c r="B237" s="13"/>
      <c r="C237" s="13" t="s">
        <v>582</v>
      </c>
      <c r="D237" s="73" t="s">
        <v>956</v>
      </c>
      <c r="E237" s="6" t="s">
        <v>6</v>
      </c>
      <c r="F237" s="6" t="s">
        <v>6</v>
      </c>
      <c r="G237" s="151" t="s">
        <v>6</v>
      </c>
      <c r="H237" s="34">
        <f>SUM(H238:H250)</f>
        <v>0</v>
      </c>
      <c r="I237" s="34">
        <f>SUM(I238:I250)</f>
        <v>0</v>
      </c>
      <c r="J237" s="34">
        <f>SUM(J238:J250)</f>
        <v>0</v>
      </c>
      <c r="K237" s="26"/>
      <c r="L237" s="34">
        <f>SUM(L238:L250)</f>
        <v>4.923455</v>
      </c>
      <c r="AH237" s="26"/>
      <c r="AR237" s="34">
        <f>SUM(AI238:AI250)</f>
        <v>0</v>
      </c>
      <c r="AS237" s="34">
        <f>SUM(AJ238:AJ250)</f>
        <v>0</v>
      </c>
      <c r="AT237" s="34">
        <f>SUM(AK238:AK250)</f>
        <v>0</v>
      </c>
    </row>
    <row r="238" spans="1:61" ht="12.75">
      <c r="A238" s="4" t="s">
        <v>204</v>
      </c>
      <c r="B238" s="4"/>
      <c r="C238" s="4" t="s">
        <v>583</v>
      </c>
      <c r="D238" s="71" t="s">
        <v>957</v>
      </c>
      <c r="E238" s="4" t="s">
        <v>1121</v>
      </c>
      <c r="F238" s="17">
        <v>213</v>
      </c>
      <c r="G238" s="148">
        <v>0</v>
      </c>
      <c r="H238" s="17">
        <f aca="true" t="shared" si="314" ref="H238:H250">F238*AN238</f>
        <v>0</v>
      </c>
      <c r="I238" s="17">
        <f aca="true" t="shared" si="315" ref="I238:I250">F238*AO238</f>
        <v>0</v>
      </c>
      <c r="J238" s="17">
        <f aca="true" t="shared" si="316" ref="J238:J250">F238*G238</f>
        <v>0</v>
      </c>
      <c r="K238" s="17">
        <v>9E-05</v>
      </c>
      <c r="L238" s="17">
        <f aca="true" t="shared" si="317" ref="L238:L250">F238*K238</f>
        <v>0.01917</v>
      </c>
      <c r="Y238" s="31">
        <f aca="true" t="shared" si="318" ref="Y238:Y250">IF(AP238="5",BI238,0)</f>
        <v>0</v>
      </c>
      <c r="AA238" s="31">
        <f aca="true" t="shared" si="319" ref="AA238:AA250">IF(AP238="1",BG238,0)</f>
        <v>0</v>
      </c>
      <c r="AB238" s="31">
        <f aca="true" t="shared" si="320" ref="AB238:AB250">IF(AP238="1",BH238,0)</f>
        <v>0</v>
      </c>
      <c r="AC238" s="31">
        <f aca="true" t="shared" si="321" ref="AC238:AC250">IF(AP238="7",BG238,0)</f>
        <v>0</v>
      </c>
      <c r="AD238" s="31">
        <f aca="true" t="shared" si="322" ref="AD238:AD250">IF(AP238="7",BH238,0)</f>
        <v>0</v>
      </c>
      <c r="AE238" s="31">
        <f aca="true" t="shared" si="323" ref="AE238:AE250">IF(AP238="2",BG238,0)</f>
        <v>0</v>
      </c>
      <c r="AF238" s="31">
        <f aca="true" t="shared" si="324" ref="AF238:AF250">IF(AP238="2",BH238,0)</f>
        <v>0</v>
      </c>
      <c r="AG238" s="31">
        <f aca="true" t="shared" si="325" ref="AG238:AG250">IF(AP238="0",BI238,0)</f>
        <v>0</v>
      </c>
      <c r="AH238" s="26"/>
      <c r="AI238" s="17">
        <f aca="true" t="shared" si="326" ref="AI238:AI250">IF(AM238=0,J238,0)</f>
        <v>0</v>
      </c>
      <c r="AJ238" s="17">
        <f aca="true" t="shared" si="327" ref="AJ238:AJ250">IF(AM238=15,J238,0)</f>
        <v>0</v>
      </c>
      <c r="AK238" s="17">
        <f aca="true" t="shared" si="328" ref="AK238:AK250">IF(AM238=21,J238,0)</f>
        <v>0</v>
      </c>
      <c r="AM238" s="31">
        <v>21</v>
      </c>
      <c r="AN238" s="31">
        <f>G238*0.486454183266932</f>
        <v>0</v>
      </c>
      <c r="AO238" s="31">
        <f>G238*(1-0.486454183266932)</f>
        <v>0</v>
      </c>
      <c r="AP238" s="27" t="s">
        <v>13</v>
      </c>
      <c r="AU238" s="31">
        <f aca="true" t="shared" si="329" ref="AU238:AU250">AV238+AW238</f>
        <v>0</v>
      </c>
      <c r="AV238" s="31">
        <f aca="true" t="shared" si="330" ref="AV238:AV250">F238*AN238</f>
        <v>0</v>
      </c>
      <c r="AW238" s="31">
        <f aca="true" t="shared" si="331" ref="AW238:AW250">F238*AO238</f>
        <v>0</v>
      </c>
      <c r="AX238" s="32" t="s">
        <v>1182</v>
      </c>
      <c r="AY238" s="32" t="s">
        <v>1209</v>
      </c>
      <c r="AZ238" s="26" t="s">
        <v>1215</v>
      </c>
      <c r="BB238" s="31">
        <f aca="true" t="shared" si="332" ref="BB238:BB250">AV238+AW238</f>
        <v>0</v>
      </c>
      <c r="BC238" s="31">
        <f aca="true" t="shared" si="333" ref="BC238:BC250">G238/(100-BD238)*100</f>
        <v>0</v>
      </c>
      <c r="BD238" s="31">
        <v>0</v>
      </c>
      <c r="BE238" s="31">
        <f aca="true" t="shared" si="334" ref="BE238:BE250">L238</f>
        <v>0.01917</v>
      </c>
      <c r="BG238" s="17">
        <f aca="true" t="shared" si="335" ref="BG238:BG250">F238*AN238</f>
        <v>0</v>
      </c>
      <c r="BH238" s="17">
        <f aca="true" t="shared" si="336" ref="BH238:BH250">F238*AO238</f>
        <v>0</v>
      </c>
      <c r="BI238" s="17">
        <f aca="true" t="shared" si="337" ref="BI238:BI250">F238*G238</f>
        <v>0</v>
      </c>
    </row>
    <row r="239" spans="1:61" ht="12.75">
      <c r="A239" s="4" t="s">
        <v>205</v>
      </c>
      <c r="B239" s="4"/>
      <c r="C239" s="4" t="s">
        <v>584</v>
      </c>
      <c r="D239" s="71" t="s">
        <v>958</v>
      </c>
      <c r="E239" s="4" t="s">
        <v>1121</v>
      </c>
      <c r="F239" s="17">
        <v>213</v>
      </c>
      <c r="G239" s="148">
        <v>0</v>
      </c>
      <c r="H239" s="17">
        <f t="shared" si="314"/>
        <v>0</v>
      </c>
      <c r="I239" s="17">
        <f t="shared" si="315"/>
        <v>0</v>
      </c>
      <c r="J239" s="17">
        <f t="shared" si="316"/>
        <v>0</v>
      </c>
      <c r="K239" s="17">
        <v>0.00029</v>
      </c>
      <c r="L239" s="17">
        <f t="shared" si="317"/>
        <v>0.06177</v>
      </c>
      <c r="Y239" s="31">
        <f t="shared" si="318"/>
        <v>0</v>
      </c>
      <c r="AA239" s="31">
        <f t="shared" si="319"/>
        <v>0</v>
      </c>
      <c r="AB239" s="31">
        <f t="shared" si="320"/>
        <v>0</v>
      </c>
      <c r="AC239" s="31">
        <f t="shared" si="321"/>
        <v>0</v>
      </c>
      <c r="AD239" s="31">
        <f t="shared" si="322"/>
        <v>0</v>
      </c>
      <c r="AE239" s="31">
        <f t="shared" si="323"/>
        <v>0</v>
      </c>
      <c r="AF239" s="31">
        <f t="shared" si="324"/>
        <v>0</v>
      </c>
      <c r="AG239" s="31">
        <f t="shared" si="325"/>
        <v>0</v>
      </c>
      <c r="AH239" s="26"/>
      <c r="AI239" s="17">
        <f t="shared" si="326"/>
        <v>0</v>
      </c>
      <c r="AJ239" s="17">
        <f t="shared" si="327"/>
        <v>0</v>
      </c>
      <c r="AK239" s="17">
        <f t="shared" si="328"/>
        <v>0</v>
      </c>
      <c r="AM239" s="31">
        <v>21</v>
      </c>
      <c r="AN239" s="31">
        <f>G239*0.656894409937888</f>
        <v>0</v>
      </c>
      <c r="AO239" s="31">
        <f>G239*(1-0.656894409937888)</f>
        <v>0</v>
      </c>
      <c r="AP239" s="27" t="s">
        <v>13</v>
      </c>
      <c r="AU239" s="31">
        <f t="shared" si="329"/>
        <v>0</v>
      </c>
      <c r="AV239" s="31">
        <f t="shared" si="330"/>
        <v>0</v>
      </c>
      <c r="AW239" s="31">
        <f t="shared" si="331"/>
        <v>0</v>
      </c>
      <c r="AX239" s="32" t="s">
        <v>1182</v>
      </c>
      <c r="AY239" s="32" t="s">
        <v>1209</v>
      </c>
      <c r="AZ239" s="26" t="s">
        <v>1215</v>
      </c>
      <c r="BB239" s="31">
        <f t="shared" si="332"/>
        <v>0</v>
      </c>
      <c r="BC239" s="31">
        <f t="shared" si="333"/>
        <v>0</v>
      </c>
      <c r="BD239" s="31">
        <v>0</v>
      </c>
      <c r="BE239" s="31">
        <f t="shared" si="334"/>
        <v>0.06177</v>
      </c>
      <c r="BG239" s="17">
        <f t="shared" si="335"/>
        <v>0</v>
      </c>
      <c r="BH239" s="17">
        <f t="shared" si="336"/>
        <v>0</v>
      </c>
      <c r="BI239" s="17">
        <f t="shared" si="337"/>
        <v>0</v>
      </c>
    </row>
    <row r="240" spans="1:61" ht="12.75">
      <c r="A240" s="4" t="s">
        <v>206</v>
      </c>
      <c r="B240" s="4"/>
      <c r="C240" s="4" t="s">
        <v>585</v>
      </c>
      <c r="D240" s="71" t="s">
        <v>959</v>
      </c>
      <c r="E240" s="4" t="s">
        <v>1123</v>
      </c>
      <c r="F240" s="17">
        <v>44.25</v>
      </c>
      <c r="G240" s="148">
        <v>0</v>
      </c>
      <c r="H240" s="17">
        <f t="shared" si="314"/>
        <v>0</v>
      </c>
      <c r="I240" s="17">
        <f t="shared" si="315"/>
        <v>0</v>
      </c>
      <c r="J240" s="17">
        <f t="shared" si="316"/>
        <v>0</v>
      </c>
      <c r="K240" s="17">
        <v>0.00353</v>
      </c>
      <c r="L240" s="17">
        <f t="shared" si="317"/>
        <v>0.1562025</v>
      </c>
      <c r="Y240" s="31">
        <f t="shared" si="318"/>
        <v>0</v>
      </c>
      <c r="AA240" s="31">
        <f t="shared" si="319"/>
        <v>0</v>
      </c>
      <c r="AB240" s="31">
        <f t="shared" si="320"/>
        <v>0</v>
      </c>
      <c r="AC240" s="31">
        <f t="shared" si="321"/>
        <v>0</v>
      </c>
      <c r="AD240" s="31">
        <f t="shared" si="322"/>
        <v>0</v>
      </c>
      <c r="AE240" s="31">
        <f t="shared" si="323"/>
        <v>0</v>
      </c>
      <c r="AF240" s="31">
        <f t="shared" si="324"/>
        <v>0</v>
      </c>
      <c r="AG240" s="31">
        <f t="shared" si="325"/>
        <v>0</v>
      </c>
      <c r="AH240" s="26"/>
      <c r="AI240" s="17">
        <f t="shared" si="326"/>
        <v>0</v>
      </c>
      <c r="AJ240" s="17">
        <f t="shared" si="327"/>
        <v>0</v>
      </c>
      <c r="AK240" s="17">
        <f t="shared" si="328"/>
        <v>0</v>
      </c>
      <c r="AM240" s="31">
        <v>21</v>
      </c>
      <c r="AN240" s="31">
        <f>G240*0.696296673229656</f>
        <v>0</v>
      </c>
      <c r="AO240" s="31">
        <f>G240*(1-0.696296673229656)</f>
        <v>0</v>
      </c>
      <c r="AP240" s="27" t="s">
        <v>13</v>
      </c>
      <c r="AU240" s="31">
        <f t="shared" si="329"/>
        <v>0</v>
      </c>
      <c r="AV240" s="31">
        <f t="shared" si="330"/>
        <v>0</v>
      </c>
      <c r="AW240" s="31">
        <f t="shared" si="331"/>
        <v>0</v>
      </c>
      <c r="AX240" s="32" t="s">
        <v>1182</v>
      </c>
      <c r="AY240" s="32" t="s">
        <v>1209</v>
      </c>
      <c r="AZ240" s="26" t="s">
        <v>1215</v>
      </c>
      <c r="BB240" s="31">
        <f t="shared" si="332"/>
        <v>0</v>
      </c>
      <c r="BC240" s="31">
        <f t="shared" si="333"/>
        <v>0</v>
      </c>
      <c r="BD240" s="31">
        <v>0</v>
      </c>
      <c r="BE240" s="31">
        <f t="shared" si="334"/>
        <v>0.1562025</v>
      </c>
      <c r="BG240" s="17">
        <f t="shared" si="335"/>
        <v>0</v>
      </c>
      <c r="BH240" s="17">
        <f t="shared" si="336"/>
        <v>0</v>
      </c>
      <c r="BI240" s="17">
        <f t="shared" si="337"/>
        <v>0</v>
      </c>
    </row>
    <row r="241" spans="1:61" ht="25.5">
      <c r="A241" s="4" t="s">
        <v>207</v>
      </c>
      <c r="B241" s="4"/>
      <c r="C241" s="4" t="s">
        <v>586</v>
      </c>
      <c r="D241" s="71" t="s">
        <v>960</v>
      </c>
      <c r="E241" s="4" t="s">
        <v>1123</v>
      </c>
      <c r="F241" s="17">
        <v>44.25</v>
      </c>
      <c r="G241" s="148">
        <v>0</v>
      </c>
      <c r="H241" s="17">
        <f t="shared" si="314"/>
        <v>0</v>
      </c>
      <c r="I241" s="17">
        <f t="shared" si="315"/>
        <v>0</v>
      </c>
      <c r="J241" s="17">
        <f t="shared" si="316"/>
        <v>0</v>
      </c>
      <c r="K241" s="17">
        <v>0.00425</v>
      </c>
      <c r="L241" s="17">
        <f t="shared" si="317"/>
        <v>0.18806250000000002</v>
      </c>
      <c r="Y241" s="31">
        <f t="shared" si="318"/>
        <v>0</v>
      </c>
      <c r="AA241" s="31">
        <f t="shared" si="319"/>
        <v>0</v>
      </c>
      <c r="AB241" s="31">
        <f t="shared" si="320"/>
        <v>0</v>
      </c>
      <c r="AC241" s="31">
        <f t="shared" si="321"/>
        <v>0</v>
      </c>
      <c r="AD241" s="31">
        <f t="shared" si="322"/>
        <v>0</v>
      </c>
      <c r="AE241" s="31">
        <f t="shared" si="323"/>
        <v>0</v>
      </c>
      <c r="AF241" s="31">
        <f t="shared" si="324"/>
        <v>0</v>
      </c>
      <c r="AG241" s="31">
        <f t="shared" si="325"/>
        <v>0</v>
      </c>
      <c r="AH241" s="26"/>
      <c r="AI241" s="17">
        <f t="shared" si="326"/>
        <v>0</v>
      </c>
      <c r="AJ241" s="17">
        <f t="shared" si="327"/>
        <v>0</v>
      </c>
      <c r="AK241" s="17">
        <f t="shared" si="328"/>
        <v>0</v>
      </c>
      <c r="AM241" s="31">
        <v>21</v>
      </c>
      <c r="AN241" s="31">
        <f>G241*0.354476416303512</f>
        <v>0</v>
      </c>
      <c r="AO241" s="31">
        <f>G241*(1-0.354476416303512)</f>
        <v>0</v>
      </c>
      <c r="AP241" s="27" t="s">
        <v>13</v>
      </c>
      <c r="AU241" s="31">
        <f t="shared" si="329"/>
        <v>0</v>
      </c>
      <c r="AV241" s="31">
        <f t="shared" si="330"/>
        <v>0</v>
      </c>
      <c r="AW241" s="31">
        <f t="shared" si="331"/>
        <v>0</v>
      </c>
      <c r="AX241" s="32" t="s">
        <v>1182</v>
      </c>
      <c r="AY241" s="32" t="s">
        <v>1209</v>
      </c>
      <c r="AZ241" s="26" t="s">
        <v>1215</v>
      </c>
      <c r="BB241" s="31">
        <f t="shared" si="332"/>
        <v>0</v>
      </c>
      <c r="BC241" s="31">
        <f t="shared" si="333"/>
        <v>0</v>
      </c>
      <c r="BD241" s="31">
        <v>0</v>
      </c>
      <c r="BE241" s="31">
        <f t="shared" si="334"/>
        <v>0.18806250000000002</v>
      </c>
      <c r="BG241" s="17">
        <f t="shared" si="335"/>
        <v>0</v>
      </c>
      <c r="BH241" s="17">
        <f t="shared" si="336"/>
        <v>0</v>
      </c>
      <c r="BI241" s="17">
        <f t="shared" si="337"/>
        <v>0</v>
      </c>
    </row>
    <row r="242" spans="1:61" ht="12.75">
      <c r="A242" s="4" t="s">
        <v>208</v>
      </c>
      <c r="B242" s="4"/>
      <c r="C242" s="4" t="s">
        <v>587</v>
      </c>
      <c r="D242" s="71" t="s">
        <v>961</v>
      </c>
      <c r="E242" s="4" t="s">
        <v>1120</v>
      </c>
      <c r="F242" s="17">
        <v>32</v>
      </c>
      <c r="G242" s="148">
        <v>0</v>
      </c>
      <c r="H242" s="17">
        <f t="shared" si="314"/>
        <v>0</v>
      </c>
      <c r="I242" s="17">
        <f t="shared" si="315"/>
        <v>0</v>
      </c>
      <c r="J242" s="17">
        <f t="shared" si="316"/>
        <v>0</v>
      </c>
      <c r="K242" s="17">
        <v>5E-05</v>
      </c>
      <c r="L242" s="17">
        <f t="shared" si="317"/>
        <v>0.0016</v>
      </c>
      <c r="Y242" s="31">
        <f t="shared" si="318"/>
        <v>0</v>
      </c>
      <c r="AA242" s="31">
        <f t="shared" si="319"/>
        <v>0</v>
      </c>
      <c r="AB242" s="31">
        <f t="shared" si="320"/>
        <v>0</v>
      </c>
      <c r="AC242" s="31">
        <f t="shared" si="321"/>
        <v>0</v>
      </c>
      <c r="AD242" s="31">
        <f t="shared" si="322"/>
        <v>0</v>
      </c>
      <c r="AE242" s="31">
        <f t="shared" si="323"/>
        <v>0</v>
      </c>
      <c r="AF242" s="31">
        <f t="shared" si="324"/>
        <v>0</v>
      </c>
      <c r="AG242" s="31">
        <f t="shared" si="325"/>
        <v>0</v>
      </c>
      <c r="AH242" s="26"/>
      <c r="AI242" s="17">
        <f t="shared" si="326"/>
        <v>0</v>
      </c>
      <c r="AJ242" s="17">
        <f t="shared" si="327"/>
        <v>0</v>
      </c>
      <c r="AK242" s="17">
        <f t="shared" si="328"/>
        <v>0</v>
      </c>
      <c r="AM242" s="31">
        <v>21</v>
      </c>
      <c r="AN242" s="31">
        <f>G242*0.589284329689075</f>
        <v>0</v>
      </c>
      <c r="AO242" s="31">
        <f>G242*(1-0.589284329689075)</f>
        <v>0</v>
      </c>
      <c r="AP242" s="27" t="s">
        <v>13</v>
      </c>
      <c r="AU242" s="31">
        <f t="shared" si="329"/>
        <v>0</v>
      </c>
      <c r="AV242" s="31">
        <f t="shared" si="330"/>
        <v>0</v>
      </c>
      <c r="AW242" s="31">
        <f t="shared" si="331"/>
        <v>0</v>
      </c>
      <c r="AX242" s="32" t="s">
        <v>1182</v>
      </c>
      <c r="AY242" s="32" t="s">
        <v>1209</v>
      </c>
      <c r="AZ242" s="26" t="s">
        <v>1215</v>
      </c>
      <c r="BB242" s="31">
        <f t="shared" si="332"/>
        <v>0</v>
      </c>
      <c r="BC242" s="31">
        <f t="shared" si="333"/>
        <v>0</v>
      </c>
      <c r="BD242" s="31">
        <v>0</v>
      </c>
      <c r="BE242" s="31">
        <f t="shared" si="334"/>
        <v>0.0016</v>
      </c>
      <c r="BG242" s="17">
        <f t="shared" si="335"/>
        <v>0</v>
      </c>
      <c r="BH242" s="17">
        <f t="shared" si="336"/>
        <v>0</v>
      </c>
      <c r="BI242" s="17">
        <f t="shared" si="337"/>
        <v>0</v>
      </c>
    </row>
    <row r="243" spans="1:61" ht="12.75">
      <c r="A243" s="4" t="s">
        <v>209</v>
      </c>
      <c r="B243" s="4"/>
      <c r="C243" s="4" t="s">
        <v>588</v>
      </c>
      <c r="D243" s="71" t="s">
        <v>962</v>
      </c>
      <c r="E243" s="4" t="s">
        <v>1123</v>
      </c>
      <c r="F243" s="17">
        <v>21</v>
      </c>
      <c r="G243" s="148">
        <v>0</v>
      </c>
      <c r="H243" s="17">
        <f t="shared" si="314"/>
        <v>0</v>
      </c>
      <c r="I243" s="17">
        <f t="shared" si="315"/>
        <v>0</v>
      </c>
      <c r="J243" s="17">
        <f t="shared" si="316"/>
        <v>0</v>
      </c>
      <c r="K243" s="17">
        <v>0.00279</v>
      </c>
      <c r="L243" s="17">
        <f t="shared" si="317"/>
        <v>0.058589999999999996</v>
      </c>
      <c r="Y243" s="31">
        <f t="shared" si="318"/>
        <v>0</v>
      </c>
      <c r="AA243" s="31">
        <f t="shared" si="319"/>
        <v>0</v>
      </c>
      <c r="AB243" s="31">
        <f t="shared" si="320"/>
        <v>0</v>
      </c>
      <c r="AC243" s="31">
        <f t="shared" si="321"/>
        <v>0</v>
      </c>
      <c r="AD243" s="31">
        <f t="shared" si="322"/>
        <v>0</v>
      </c>
      <c r="AE243" s="31">
        <f t="shared" si="323"/>
        <v>0</v>
      </c>
      <c r="AF243" s="31">
        <f t="shared" si="324"/>
        <v>0</v>
      </c>
      <c r="AG243" s="31">
        <f t="shared" si="325"/>
        <v>0</v>
      </c>
      <c r="AH243" s="26"/>
      <c r="AI243" s="17">
        <f t="shared" si="326"/>
        <v>0</v>
      </c>
      <c r="AJ243" s="17">
        <f t="shared" si="327"/>
        <v>0</v>
      </c>
      <c r="AK243" s="17">
        <f t="shared" si="328"/>
        <v>0</v>
      </c>
      <c r="AM243" s="31">
        <v>21</v>
      </c>
      <c r="AN243" s="31">
        <f>G243*0.348924150535848</f>
        <v>0</v>
      </c>
      <c r="AO243" s="31">
        <f>G243*(1-0.348924150535848)</f>
        <v>0</v>
      </c>
      <c r="AP243" s="27" t="s">
        <v>13</v>
      </c>
      <c r="AU243" s="31">
        <f t="shared" si="329"/>
        <v>0</v>
      </c>
      <c r="AV243" s="31">
        <f t="shared" si="330"/>
        <v>0</v>
      </c>
      <c r="AW243" s="31">
        <f t="shared" si="331"/>
        <v>0</v>
      </c>
      <c r="AX243" s="32" t="s">
        <v>1182</v>
      </c>
      <c r="AY243" s="32" t="s">
        <v>1209</v>
      </c>
      <c r="AZ243" s="26" t="s">
        <v>1215</v>
      </c>
      <c r="BB243" s="31">
        <f t="shared" si="332"/>
        <v>0</v>
      </c>
      <c r="BC243" s="31">
        <f t="shared" si="333"/>
        <v>0</v>
      </c>
      <c r="BD243" s="31">
        <v>0</v>
      </c>
      <c r="BE243" s="31">
        <f t="shared" si="334"/>
        <v>0.058589999999999996</v>
      </c>
      <c r="BG243" s="17">
        <f t="shared" si="335"/>
        <v>0</v>
      </c>
      <c r="BH243" s="17">
        <f t="shared" si="336"/>
        <v>0</v>
      </c>
      <c r="BI243" s="17">
        <f t="shared" si="337"/>
        <v>0</v>
      </c>
    </row>
    <row r="244" spans="1:61" ht="12.75">
      <c r="A244" s="4" t="s">
        <v>210</v>
      </c>
      <c r="B244" s="4"/>
      <c r="C244" s="4" t="s">
        <v>589</v>
      </c>
      <c r="D244" s="71" t="s">
        <v>963</v>
      </c>
      <c r="E244" s="4" t="s">
        <v>1123</v>
      </c>
      <c r="F244" s="17">
        <v>35.55</v>
      </c>
      <c r="G244" s="148">
        <v>0</v>
      </c>
      <c r="H244" s="17">
        <f t="shared" si="314"/>
        <v>0</v>
      </c>
      <c r="I244" s="17">
        <f t="shared" si="315"/>
        <v>0</v>
      </c>
      <c r="J244" s="17">
        <f t="shared" si="316"/>
        <v>0</v>
      </c>
      <c r="K244" s="17">
        <v>0.00183</v>
      </c>
      <c r="L244" s="17">
        <f t="shared" si="317"/>
        <v>0.06505649999999999</v>
      </c>
      <c r="Y244" s="31">
        <f t="shared" si="318"/>
        <v>0</v>
      </c>
      <c r="AA244" s="31">
        <f t="shared" si="319"/>
        <v>0</v>
      </c>
      <c r="AB244" s="31">
        <f t="shared" si="320"/>
        <v>0</v>
      </c>
      <c r="AC244" s="31">
        <f t="shared" si="321"/>
        <v>0</v>
      </c>
      <c r="AD244" s="31">
        <f t="shared" si="322"/>
        <v>0</v>
      </c>
      <c r="AE244" s="31">
        <f t="shared" si="323"/>
        <v>0</v>
      </c>
      <c r="AF244" s="31">
        <f t="shared" si="324"/>
        <v>0</v>
      </c>
      <c r="AG244" s="31">
        <f t="shared" si="325"/>
        <v>0</v>
      </c>
      <c r="AH244" s="26"/>
      <c r="AI244" s="17">
        <f t="shared" si="326"/>
        <v>0</v>
      </c>
      <c r="AJ244" s="17">
        <f t="shared" si="327"/>
        <v>0</v>
      </c>
      <c r="AK244" s="17">
        <f t="shared" si="328"/>
        <v>0</v>
      </c>
      <c r="AM244" s="31">
        <v>21</v>
      </c>
      <c r="AN244" s="31">
        <f>G244*0.475059701492537</f>
        <v>0</v>
      </c>
      <c r="AO244" s="31">
        <f>G244*(1-0.475059701492537)</f>
        <v>0</v>
      </c>
      <c r="AP244" s="27" t="s">
        <v>13</v>
      </c>
      <c r="AU244" s="31">
        <f t="shared" si="329"/>
        <v>0</v>
      </c>
      <c r="AV244" s="31">
        <f t="shared" si="330"/>
        <v>0</v>
      </c>
      <c r="AW244" s="31">
        <f t="shared" si="331"/>
        <v>0</v>
      </c>
      <c r="AX244" s="32" t="s">
        <v>1182</v>
      </c>
      <c r="AY244" s="32" t="s">
        <v>1209</v>
      </c>
      <c r="AZ244" s="26" t="s">
        <v>1215</v>
      </c>
      <c r="BB244" s="31">
        <f t="shared" si="332"/>
        <v>0</v>
      </c>
      <c r="BC244" s="31">
        <f t="shared" si="333"/>
        <v>0</v>
      </c>
      <c r="BD244" s="31">
        <v>0</v>
      </c>
      <c r="BE244" s="31">
        <f t="shared" si="334"/>
        <v>0.06505649999999999</v>
      </c>
      <c r="BG244" s="17">
        <f t="shared" si="335"/>
        <v>0</v>
      </c>
      <c r="BH244" s="17">
        <f t="shared" si="336"/>
        <v>0</v>
      </c>
      <c r="BI244" s="17">
        <f t="shared" si="337"/>
        <v>0</v>
      </c>
    </row>
    <row r="245" spans="1:61" ht="12.75">
      <c r="A245" s="4" t="s">
        <v>211</v>
      </c>
      <c r="B245" s="4"/>
      <c r="C245" s="4" t="s">
        <v>590</v>
      </c>
      <c r="D245" s="71" t="s">
        <v>964</v>
      </c>
      <c r="E245" s="4" t="s">
        <v>1123</v>
      </c>
      <c r="F245" s="17">
        <v>28.65</v>
      </c>
      <c r="G245" s="148">
        <v>0</v>
      </c>
      <c r="H245" s="17">
        <f t="shared" si="314"/>
        <v>0</v>
      </c>
      <c r="I245" s="17">
        <f t="shared" si="315"/>
        <v>0</v>
      </c>
      <c r="J245" s="17">
        <f t="shared" si="316"/>
        <v>0</v>
      </c>
      <c r="K245" s="17">
        <v>0.00203</v>
      </c>
      <c r="L245" s="17">
        <f t="shared" si="317"/>
        <v>0.0581595</v>
      </c>
      <c r="Y245" s="31">
        <f t="shared" si="318"/>
        <v>0</v>
      </c>
      <c r="AA245" s="31">
        <f t="shared" si="319"/>
        <v>0</v>
      </c>
      <c r="AB245" s="31">
        <f t="shared" si="320"/>
        <v>0</v>
      </c>
      <c r="AC245" s="31">
        <f t="shared" si="321"/>
        <v>0</v>
      </c>
      <c r="AD245" s="31">
        <f t="shared" si="322"/>
        <v>0</v>
      </c>
      <c r="AE245" s="31">
        <f t="shared" si="323"/>
        <v>0</v>
      </c>
      <c r="AF245" s="31">
        <f t="shared" si="324"/>
        <v>0</v>
      </c>
      <c r="AG245" s="31">
        <f t="shared" si="325"/>
        <v>0</v>
      </c>
      <c r="AH245" s="26"/>
      <c r="AI245" s="17">
        <f t="shared" si="326"/>
        <v>0</v>
      </c>
      <c r="AJ245" s="17">
        <f t="shared" si="327"/>
        <v>0</v>
      </c>
      <c r="AK245" s="17">
        <f t="shared" si="328"/>
        <v>0</v>
      </c>
      <c r="AM245" s="31">
        <v>21</v>
      </c>
      <c r="AN245" s="31">
        <f>G245*0.543773716383573</f>
        <v>0</v>
      </c>
      <c r="AO245" s="31">
        <f>G245*(1-0.543773716383573)</f>
        <v>0</v>
      </c>
      <c r="AP245" s="27" t="s">
        <v>13</v>
      </c>
      <c r="AU245" s="31">
        <f t="shared" si="329"/>
        <v>0</v>
      </c>
      <c r="AV245" s="31">
        <f t="shared" si="330"/>
        <v>0</v>
      </c>
      <c r="AW245" s="31">
        <f t="shared" si="331"/>
        <v>0</v>
      </c>
      <c r="AX245" s="32" t="s">
        <v>1182</v>
      </c>
      <c r="AY245" s="32" t="s">
        <v>1209</v>
      </c>
      <c r="AZ245" s="26" t="s">
        <v>1215</v>
      </c>
      <c r="BB245" s="31">
        <f t="shared" si="332"/>
        <v>0</v>
      </c>
      <c r="BC245" s="31">
        <f t="shared" si="333"/>
        <v>0</v>
      </c>
      <c r="BD245" s="31">
        <v>0</v>
      </c>
      <c r="BE245" s="31">
        <f t="shared" si="334"/>
        <v>0.0581595</v>
      </c>
      <c r="BG245" s="17">
        <f t="shared" si="335"/>
        <v>0</v>
      </c>
      <c r="BH245" s="17">
        <f t="shared" si="336"/>
        <v>0</v>
      </c>
      <c r="BI245" s="17">
        <f t="shared" si="337"/>
        <v>0</v>
      </c>
    </row>
    <row r="246" spans="1:61" ht="12.75">
      <c r="A246" s="4" t="s">
        <v>212</v>
      </c>
      <c r="B246" s="4"/>
      <c r="C246" s="4" t="s">
        <v>591</v>
      </c>
      <c r="D246" s="71" t="s">
        <v>965</v>
      </c>
      <c r="E246" s="4" t="s">
        <v>1120</v>
      </c>
      <c r="F246" s="17">
        <v>20</v>
      </c>
      <c r="G246" s="148">
        <v>0</v>
      </c>
      <c r="H246" s="17">
        <f t="shared" si="314"/>
        <v>0</v>
      </c>
      <c r="I246" s="17">
        <f t="shared" si="315"/>
        <v>0</v>
      </c>
      <c r="J246" s="17">
        <f t="shared" si="316"/>
        <v>0</v>
      </c>
      <c r="K246" s="17">
        <v>0.00053</v>
      </c>
      <c r="L246" s="17">
        <f t="shared" si="317"/>
        <v>0.0106</v>
      </c>
      <c r="Y246" s="31">
        <f t="shared" si="318"/>
        <v>0</v>
      </c>
      <c r="AA246" s="31">
        <f t="shared" si="319"/>
        <v>0</v>
      </c>
      <c r="AB246" s="31">
        <f t="shared" si="320"/>
        <v>0</v>
      </c>
      <c r="AC246" s="31">
        <f t="shared" si="321"/>
        <v>0</v>
      </c>
      <c r="AD246" s="31">
        <f t="shared" si="322"/>
        <v>0</v>
      </c>
      <c r="AE246" s="31">
        <f t="shared" si="323"/>
        <v>0</v>
      </c>
      <c r="AF246" s="31">
        <f t="shared" si="324"/>
        <v>0</v>
      </c>
      <c r="AG246" s="31">
        <f t="shared" si="325"/>
        <v>0</v>
      </c>
      <c r="AH246" s="26"/>
      <c r="AI246" s="17">
        <f t="shared" si="326"/>
        <v>0</v>
      </c>
      <c r="AJ246" s="17">
        <f t="shared" si="327"/>
        <v>0</v>
      </c>
      <c r="AK246" s="17">
        <f t="shared" si="328"/>
        <v>0</v>
      </c>
      <c r="AM246" s="31">
        <v>21</v>
      </c>
      <c r="AN246" s="31">
        <f>G246*0.505780346820809</f>
        <v>0</v>
      </c>
      <c r="AO246" s="31">
        <f>G246*(1-0.505780346820809)</f>
        <v>0</v>
      </c>
      <c r="AP246" s="27" t="s">
        <v>13</v>
      </c>
      <c r="AU246" s="31">
        <f t="shared" si="329"/>
        <v>0</v>
      </c>
      <c r="AV246" s="31">
        <f t="shared" si="330"/>
        <v>0</v>
      </c>
      <c r="AW246" s="31">
        <f t="shared" si="331"/>
        <v>0</v>
      </c>
      <c r="AX246" s="32" t="s">
        <v>1182</v>
      </c>
      <c r="AY246" s="32" t="s">
        <v>1209</v>
      </c>
      <c r="AZ246" s="26" t="s">
        <v>1215</v>
      </c>
      <c r="BB246" s="31">
        <f t="shared" si="332"/>
        <v>0</v>
      </c>
      <c r="BC246" s="31">
        <f t="shared" si="333"/>
        <v>0</v>
      </c>
      <c r="BD246" s="31">
        <v>0</v>
      </c>
      <c r="BE246" s="31">
        <f t="shared" si="334"/>
        <v>0.0106</v>
      </c>
      <c r="BG246" s="17">
        <f t="shared" si="335"/>
        <v>0</v>
      </c>
      <c r="BH246" s="17">
        <f t="shared" si="336"/>
        <v>0</v>
      </c>
      <c r="BI246" s="17">
        <f t="shared" si="337"/>
        <v>0</v>
      </c>
    </row>
    <row r="247" spans="1:61" ht="12.75">
      <c r="A247" s="4" t="s">
        <v>213</v>
      </c>
      <c r="B247" s="4"/>
      <c r="C247" s="4" t="s">
        <v>592</v>
      </c>
      <c r="D247" s="71" t="s">
        <v>966</v>
      </c>
      <c r="E247" s="4" t="s">
        <v>1123</v>
      </c>
      <c r="F247" s="17">
        <v>28</v>
      </c>
      <c r="G247" s="148">
        <v>0</v>
      </c>
      <c r="H247" s="17">
        <f t="shared" si="314"/>
        <v>0</v>
      </c>
      <c r="I247" s="17">
        <f t="shared" si="315"/>
        <v>0</v>
      </c>
      <c r="J247" s="17">
        <f t="shared" si="316"/>
        <v>0</v>
      </c>
      <c r="K247" s="17">
        <v>3E-05</v>
      </c>
      <c r="L247" s="17">
        <f t="shared" si="317"/>
        <v>0.00084</v>
      </c>
      <c r="Y247" s="31">
        <f t="shared" si="318"/>
        <v>0</v>
      </c>
      <c r="AA247" s="31">
        <f t="shared" si="319"/>
        <v>0</v>
      </c>
      <c r="AB247" s="31">
        <f t="shared" si="320"/>
        <v>0</v>
      </c>
      <c r="AC247" s="31">
        <f t="shared" si="321"/>
        <v>0</v>
      </c>
      <c r="AD247" s="31">
        <f t="shared" si="322"/>
        <v>0</v>
      </c>
      <c r="AE247" s="31">
        <f t="shared" si="323"/>
        <v>0</v>
      </c>
      <c r="AF247" s="31">
        <f t="shared" si="324"/>
        <v>0</v>
      </c>
      <c r="AG247" s="31">
        <f t="shared" si="325"/>
        <v>0</v>
      </c>
      <c r="AH247" s="26"/>
      <c r="AI247" s="17">
        <f t="shared" si="326"/>
        <v>0</v>
      </c>
      <c r="AJ247" s="17">
        <f t="shared" si="327"/>
        <v>0</v>
      </c>
      <c r="AK247" s="17">
        <f t="shared" si="328"/>
        <v>0</v>
      </c>
      <c r="AM247" s="31">
        <v>21</v>
      </c>
      <c r="AN247" s="31">
        <f>G247*0.811135264916778</f>
        <v>0</v>
      </c>
      <c r="AO247" s="31">
        <f>G247*(1-0.811135264916778)</f>
        <v>0</v>
      </c>
      <c r="AP247" s="27" t="s">
        <v>13</v>
      </c>
      <c r="AU247" s="31">
        <f t="shared" si="329"/>
        <v>0</v>
      </c>
      <c r="AV247" s="31">
        <f t="shared" si="330"/>
        <v>0</v>
      </c>
      <c r="AW247" s="31">
        <f t="shared" si="331"/>
        <v>0</v>
      </c>
      <c r="AX247" s="32" t="s">
        <v>1182</v>
      </c>
      <c r="AY247" s="32" t="s">
        <v>1209</v>
      </c>
      <c r="AZ247" s="26" t="s">
        <v>1215</v>
      </c>
      <c r="BB247" s="31">
        <f t="shared" si="332"/>
        <v>0</v>
      </c>
      <c r="BC247" s="31">
        <f t="shared" si="333"/>
        <v>0</v>
      </c>
      <c r="BD247" s="31">
        <v>0</v>
      </c>
      <c r="BE247" s="31">
        <f t="shared" si="334"/>
        <v>0.00084</v>
      </c>
      <c r="BG247" s="17">
        <f t="shared" si="335"/>
        <v>0</v>
      </c>
      <c r="BH247" s="17">
        <f t="shared" si="336"/>
        <v>0</v>
      </c>
      <c r="BI247" s="17">
        <f t="shared" si="337"/>
        <v>0</v>
      </c>
    </row>
    <row r="248" spans="1:61" ht="12.75">
      <c r="A248" s="4" t="s">
        <v>214</v>
      </c>
      <c r="B248" s="4"/>
      <c r="C248" s="4" t="s">
        <v>593</v>
      </c>
      <c r="D248" s="71" t="s">
        <v>967</v>
      </c>
      <c r="E248" s="4" t="s">
        <v>1120</v>
      </c>
      <c r="F248" s="17">
        <v>40</v>
      </c>
      <c r="G248" s="148">
        <v>0</v>
      </c>
      <c r="H248" s="17">
        <f t="shared" si="314"/>
        <v>0</v>
      </c>
      <c r="I248" s="17">
        <f t="shared" si="315"/>
        <v>0</v>
      </c>
      <c r="J248" s="17">
        <f t="shared" si="316"/>
        <v>0</v>
      </c>
      <c r="K248" s="17">
        <v>0.0006</v>
      </c>
      <c r="L248" s="17">
        <f t="shared" si="317"/>
        <v>0.023999999999999997</v>
      </c>
      <c r="Y248" s="31">
        <f t="shared" si="318"/>
        <v>0</v>
      </c>
      <c r="AA248" s="31">
        <f t="shared" si="319"/>
        <v>0</v>
      </c>
      <c r="AB248" s="31">
        <f t="shared" si="320"/>
        <v>0</v>
      </c>
      <c r="AC248" s="31">
        <f t="shared" si="321"/>
        <v>0</v>
      </c>
      <c r="AD248" s="31">
        <f t="shared" si="322"/>
        <v>0</v>
      </c>
      <c r="AE248" s="31">
        <f t="shared" si="323"/>
        <v>0</v>
      </c>
      <c r="AF248" s="31">
        <f t="shared" si="324"/>
        <v>0</v>
      </c>
      <c r="AG248" s="31">
        <f t="shared" si="325"/>
        <v>0</v>
      </c>
      <c r="AH248" s="26"/>
      <c r="AI248" s="17">
        <f t="shared" si="326"/>
        <v>0</v>
      </c>
      <c r="AJ248" s="17">
        <f t="shared" si="327"/>
        <v>0</v>
      </c>
      <c r="AK248" s="17">
        <f t="shared" si="328"/>
        <v>0</v>
      </c>
      <c r="AM248" s="31">
        <v>21</v>
      </c>
      <c r="AN248" s="31">
        <f>G248*0.21213728312751</f>
        <v>0</v>
      </c>
      <c r="AO248" s="31">
        <f>G248*(1-0.21213728312751)</f>
        <v>0</v>
      </c>
      <c r="AP248" s="27" t="s">
        <v>13</v>
      </c>
      <c r="AU248" s="31">
        <f t="shared" si="329"/>
        <v>0</v>
      </c>
      <c r="AV248" s="31">
        <f t="shared" si="330"/>
        <v>0</v>
      </c>
      <c r="AW248" s="31">
        <f t="shared" si="331"/>
        <v>0</v>
      </c>
      <c r="AX248" s="32" t="s">
        <v>1182</v>
      </c>
      <c r="AY248" s="32" t="s">
        <v>1209</v>
      </c>
      <c r="AZ248" s="26" t="s">
        <v>1215</v>
      </c>
      <c r="BB248" s="31">
        <f t="shared" si="332"/>
        <v>0</v>
      </c>
      <c r="BC248" s="31">
        <f t="shared" si="333"/>
        <v>0</v>
      </c>
      <c r="BD248" s="31">
        <v>0</v>
      </c>
      <c r="BE248" s="31">
        <f t="shared" si="334"/>
        <v>0.023999999999999997</v>
      </c>
      <c r="BG248" s="17">
        <f t="shared" si="335"/>
        <v>0</v>
      </c>
      <c r="BH248" s="17">
        <f t="shared" si="336"/>
        <v>0</v>
      </c>
      <c r="BI248" s="17">
        <f t="shared" si="337"/>
        <v>0</v>
      </c>
    </row>
    <row r="249" spans="1:61" ht="12.75">
      <c r="A249" s="4" t="s">
        <v>215</v>
      </c>
      <c r="B249" s="4"/>
      <c r="C249" s="4" t="s">
        <v>594</v>
      </c>
      <c r="D249" s="71" t="s">
        <v>968</v>
      </c>
      <c r="E249" s="4" t="s">
        <v>1123</v>
      </c>
      <c r="F249" s="17">
        <v>40.65</v>
      </c>
      <c r="G249" s="148">
        <v>0</v>
      </c>
      <c r="H249" s="17">
        <f t="shared" si="314"/>
        <v>0</v>
      </c>
      <c r="I249" s="17">
        <f t="shared" si="315"/>
        <v>0</v>
      </c>
      <c r="J249" s="17">
        <f t="shared" si="316"/>
        <v>0</v>
      </c>
      <c r="K249" s="17">
        <v>0.00556</v>
      </c>
      <c r="L249" s="17">
        <f t="shared" si="317"/>
        <v>0.226014</v>
      </c>
      <c r="Y249" s="31">
        <f t="shared" si="318"/>
        <v>0</v>
      </c>
      <c r="AA249" s="31">
        <f t="shared" si="319"/>
        <v>0</v>
      </c>
      <c r="AB249" s="31">
        <f t="shared" si="320"/>
        <v>0</v>
      </c>
      <c r="AC249" s="31">
        <f t="shared" si="321"/>
        <v>0</v>
      </c>
      <c r="AD249" s="31">
        <f t="shared" si="322"/>
        <v>0</v>
      </c>
      <c r="AE249" s="31">
        <f t="shared" si="323"/>
        <v>0</v>
      </c>
      <c r="AF249" s="31">
        <f t="shared" si="324"/>
        <v>0</v>
      </c>
      <c r="AG249" s="31">
        <f t="shared" si="325"/>
        <v>0</v>
      </c>
      <c r="AH249" s="26"/>
      <c r="AI249" s="17">
        <f t="shared" si="326"/>
        <v>0</v>
      </c>
      <c r="AJ249" s="17">
        <f t="shared" si="327"/>
        <v>0</v>
      </c>
      <c r="AK249" s="17">
        <f t="shared" si="328"/>
        <v>0</v>
      </c>
      <c r="AM249" s="31">
        <v>21</v>
      </c>
      <c r="AN249" s="31">
        <f>G249*0.388029319361732</f>
        <v>0</v>
      </c>
      <c r="AO249" s="31">
        <f>G249*(1-0.388029319361732)</f>
        <v>0</v>
      </c>
      <c r="AP249" s="27" t="s">
        <v>13</v>
      </c>
      <c r="AU249" s="31">
        <f t="shared" si="329"/>
        <v>0</v>
      </c>
      <c r="AV249" s="31">
        <f t="shared" si="330"/>
        <v>0</v>
      </c>
      <c r="AW249" s="31">
        <f t="shared" si="331"/>
        <v>0</v>
      </c>
      <c r="AX249" s="32" t="s">
        <v>1182</v>
      </c>
      <c r="AY249" s="32" t="s">
        <v>1209</v>
      </c>
      <c r="AZ249" s="26" t="s">
        <v>1215</v>
      </c>
      <c r="BB249" s="31">
        <f t="shared" si="332"/>
        <v>0</v>
      </c>
      <c r="BC249" s="31">
        <f t="shared" si="333"/>
        <v>0</v>
      </c>
      <c r="BD249" s="31">
        <v>0</v>
      </c>
      <c r="BE249" s="31">
        <f t="shared" si="334"/>
        <v>0.226014</v>
      </c>
      <c r="BG249" s="17">
        <f t="shared" si="335"/>
        <v>0</v>
      </c>
      <c r="BH249" s="17">
        <f t="shared" si="336"/>
        <v>0</v>
      </c>
      <c r="BI249" s="17">
        <f t="shared" si="337"/>
        <v>0</v>
      </c>
    </row>
    <row r="250" spans="1:61" ht="12.75">
      <c r="A250" s="4" t="s">
        <v>216</v>
      </c>
      <c r="B250" s="4"/>
      <c r="C250" s="4" t="s">
        <v>595</v>
      </c>
      <c r="D250" s="71" t="s">
        <v>969</v>
      </c>
      <c r="E250" s="4" t="s">
        <v>1121</v>
      </c>
      <c r="F250" s="17">
        <v>213</v>
      </c>
      <c r="G250" s="148">
        <v>0</v>
      </c>
      <c r="H250" s="17">
        <f t="shared" si="314"/>
        <v>0</v>
      </c>
      <c r="I250" s="17">
        <f t="shared" si="315"/>
        <v>0</v>
      </c>
      <c r="J250" s="17">
        <f t="shared" si="316"/>
        <v>0</v>
      </c>
      <c r="K250" s="17">
        <v>0.01903</v>
      </c>
      <c r="L250" s="17">
        <f t="shared" si="317"/>
        <v>4.053389999999999</v>
      </c>
      <c r="Y250" s="31">
        <f t="shared" si="318"/>
        <v>0</v>
      </c>
      <c r="AA250" s="31">
        <f t="shared" si="319"/>
        <v>0</v>
      </c>
      <c r="AB250" s="31">
        <f t="shared" si="320"/>
        <v>0</v>
      </c>
      <c r="AC250" s="31">
        <f t="shared" si="321"/>
        <v>0</v>
      </c>
      <c r="AD250" s="31">
        <f t="shared" si="322"/>
        <v>0</v>
      </c>
      <c r="AE250" s="31">
        <f t="shared" si="323"/>
        <v>0</v>
      </c>
      <c r="AF250" s="31">
        <f t="shared" si="324"/>
        <v>0</v>
      </c>
      <c r="AG250" s="31">
        <f t="shared" si="325"/>
        <v>0</v>
      </c>
      <c r="AH250" s="26"/>
      <c r="AI250" s="17">
        <f t="shared" si="326"/>
        <v>0</v>
      </c>
      <c r="AJ250" s="17">
        <f t="shared" si="327"/>
        <v>0</v>
      </c>
      <c r="AK250" s="17">
        <f t="shared" si="328"/>
        <v>0</v>
      </c>
      <c r="AM250" s="31">
        <v>21</v>
      </c>
      <c r="AN250" s="31">
        <f>G250*0.283563829787234</f>
        <v>0</v>
      </c>
      <c r="AO250" s="31">
        <f>G250*(1-0.283563829787234)</f>
        <v>0</v>
      </c>
      <c r="AP250" s="27" t="s">
        <v>13</v>
      </c>
      <c r="AU250" s="31">
        <f t="shared" si="329"/>
        <v>0</v>
      </c>
      <c r="AV250" s="31">
        <f t="shared" si="330"/>
        <v>0</v>
      </c>
      <c r="AW250" s="31">
        <f t="shared" si="331"/>
        <v>0</v>
      </c>
      <c r="AX250" s="32" t="s">
        <v>1182</v>
      </c>
      <c r="AY250" s="32" t="s">
        <v>1209</v>
      </c>
      <c r="AZ250" s="26" t="s">
        <v>1215</v>
      </c>
      <c r="BB250" s="31">
        <f t="shared" si="332"/>
        <v>0</v>
      </c>
      <c r="BC250" s="31">
        <f t="shared" si="333"/>
        <v>0</v>
      </c>
      <c r="BD250" s="31">
        <v>0</v>
      </c>
      <c r="BE250" s="31">
        <f t="shared" si="334"/>
        <v>4.053389999999999</v>
      </c>
      <c r="BG250" s="17">
        <f t="shared" si="335"/>
        <v>0</v>
      </c>
      <c r="BH250" s="17">
        <f t="shared" si="336"/>
        <v>0</v>
      </c>
      <c r="BI250" s="17">
        <f t="shared" si="337"/>
        <v>0</v>
      </c>
    </row>
    <row r="251" spans="1:46" ht="12.75">
      <c r="A251" s="6"/>
      <c r="B251" s="13"/>
      <c r="C251" s="13" t="s">
        <v>596</v>
      </c>
      <c r="D251" s="73" t="s">
        <v>970</v>
      </c>
      <c r="E251" s="6" t="s">
        <v>6</v>
      </c>
      <c r="F251" s="6" t="s">
        <v>6</v>
      </c>
      <c r="G251" s="151" t="s">
        <v>6</v>
      </c>
      <c r="H251" s="34">
        <f>SUM(H252:H267)</f>
        <v>0</v>
      </c>
      <c r="I251" s="34">
        <f>SUM(I252:I267)</f>
        <v>0</v>
      </c>
      <c r="J251" s="34">
        <f>SUM(J252:J267)</f>
        <v>0</v>
      </c>
      <c r="K251" s="26"/>
      <c r="L251" s="34">
        <f>SUM(L252:L267)</f>
        <v>0.66212</v>
      </c>
      <c r="AH251" s="26"/>
      <c r="AR251" s="34">
        <f>SUM(AI252:AI267)</f>
        <v>0</v>
      </c>
      <c r="AS251" s="34">
        <f>SUM(AJ252:AJ267)</f>
        <v>0</v>
      </c>
      <c r="AT251" s="34">
        <f>SUM(AK252:AK267)</f>
        <v>0</v>
      </c>
    </row>
    <row r="252" spans="1:61" ht="12.75">
      <c r="A252" s="4" t="s">
        <v>217</v>
      </c>
      <c r="B252" s="4"/>
      <c r="C252" s="4" t="s">
        <v>597</v>
      </c>
      <c r="D252" s="71" t="s">
        <v>971</v>
      </c>
      <c r="E252" s="4" t="s">
        <v>1120</v>
      </c>
      <c r="F252" s="17">
        <v>5</v>
      </c>
      <c r="G252" s="148">
        <v>0</v>
      </c>
      <c r="H252" s="17">
        <f aca="true" t="shared" si="338" ref="H252:H267">F252*AN252</f>
        <v>0</v>
      </c>
      <c r="I252" s="17">
        <f aca="true" t="shared" si="339" ref="I252:I267">F252*AO252</f>
        <v>0</v>
      </c>
      <c r="J252" s="17">
        <f aca="true" t="shared" si="340" ref="J252:J267">F252*G252</f>
        <v>0</v>
      </c>
      <c r="K252" s="17">
        <v>0</v>
      </c>
      <c r="L252" s="17">
        <f aca="true" t="shared" si="341" ref="L252:L267">F252*K252</f>
        <v>0</v>
      </c>
      <c r="Y252" s="31">
        <f aca="true" t="shared" si="342" ref="Y252:Y267">IF(AP252="5",BI252,0)</f>
        <v>0</v>
      </c>
      <c r="AA252" s="31">
        <f aca="true" t="shared" si="343" ref="AA252:AA267">IF(AP252="1",BG252,0)</f>
        <v>0</v>
      </c>
      <c r="AB252" s="31">
        <f aca="true" t="shared" si="344" ref="AB252:AB267">IF(AP252="1",BH252,0)</f>
        <v>0</v>
      </c>
      <c r="AC252" s="31">
        <f aca="true" t="shared" si="345" ref="AC252:AC267">IF(AP252="7",BG252,0)</f>
        <v>0</v>
      </c>
      <c r="AD252" s="31">
        <f aca="true" t="shared" si="346" ref="AD252:AD267">IF(AP252="7",BH252,0)</f>
        <v>0</v>
      </c>
      <c r="AE252" s="31">
        <f aca="true" t="shared" si="347" ref="AE252:AE267">IF(AP252="2",BG252,0)</f>
        <v>0</v>
      </c>
      <c r="AF252" s="31">
        <f aca="true" t="shared" si="348" ref="AF252:AF267">IF(AP252="2",BH252,0)</f>
        <v>0</v>
      </c>
      <c r="AG252" s="31">
        <f aca="true" t="shared" si="349" ref="AG252:AG267">IF(AP252="0",BI252,0)</f>
        <v>0</v>
      </c>
      <c r="AH252" s="26"/>
      <c r="AI252" s="17">
        <f aca="true" t="shared" si="350" ref="AI252:AI267">IF(AM252=0,J252,0)</f>
        <v>0</v>
      </c>
      <c r="AJ252" s="17">
        <f aca="true" t="shared" si="351" ref="AJ252:AJ267">IF(AM252=15,J252,0)</f>
        <v>0</v>
      </c>
      <c r="AK252" s="17">
        <f aca="true" t="shared" si="352" ref="AK252:AK267">IF(AM252=21,J252,0)</f>
        <v>0</v>
      </c>
      <c r="AM252" s="31">
        <v>21</v>
      </c>
      <c r="AN252" s="31">
        <f>G252*0</f>
        <v>0</v>
      </c>
      <c r="AO252" s="31">
        <f>G252*(1-0)</f>
        <v>0</v>
      </c>
      <c r="AP252" s="27" t="s">
        <v>13</v>
      </c>
      <c r="AU252" s="31">
        <f aca="true" t="shared" si="353" ref="AU252:AU267">AV252+AW252</f>
        <v>0</v>
      </c>
      <c r="AV252" s="31">
        <f aca="true" t="shared" si="354" ref="AV252:AV267">F252*AN252</f>
        <v>0</v>
      </c>
      <c r="AW252" s="31">
        <f aca="true" t="shared" si="355" ref="AW252:AW267">F252*AO252</f>
        <v>0</v>
      </c>
      <c r="AX252" s="32" t="s">
        <v>1183</v>
      </c>
      <c r="AY252" s="32" t="s">
        <v>1209</v>
      </c>
      <c r="AZ252" s="26" t="s">
        <v>1215</v>
      </c>
      <c r="BB252" s="31">
        <f aca="true" t="shared" si="356" ref="BB252:BB267">AV252+AW252</f>
        <v>0</v>
      </c>
      <c r="BC252" s="31">
        <f aca="true" t="shared" si="357" ref="BC252:BC267">G252/(100-BD252)*100</f>
        <v>0</v>
      </c>
      <c r="BD252" s="31">
        <v>0</v>
      </c>
      <c r="BE252" s="31">
        <f aca="true" t="shared" si="358" ref="BE252:BE267">L252</f>
        <v>0</v>
      </c>
      <c r="BG252" s="17">
        <f aca="true" t="shared" si="359" ref="BG252:BG267">F252*AN252</f>
        <v>0</v>
      </c>
      <c r="BH252" s="17">
        <f aca="true" t="shared" si="360" ref="BH252:BH267">F252*AO252</f>
        <v>0</v>
      </c>
      <c r="BI252" s="17">
        <f aca="true" t="shared" si="361" ref="BI252:BI267">F252*G252</f>
        <v>0</v>
      </c>
    </row>
    <row r="253" spans="1:61" ht="12.75">
      <c r="A253" s="4" t="s">
        <v>218</v>
      </c>
      <c r="B253" s="4"/>
      <c r="C253" s="4" t="s">
        <v>598</v>
      </c>
      <c r="D253" s="71" t="s">
        <v>972</v>
      </c>
      <c r="E253" s="4" t="s">
        <v>1120</v>
      </c>
      <c r="F253" s="17">
        <v>5</v>
      </c>
      <c r="G253" s="148">
        <v>0</v>
      </c>
      <c r="H253" s="17">
        <f t="shared" si="338"/>
        <v>0</v>
      </c>
      <c r="I253" s="17">
        <f t="shared" si="339"/>
        <v>0</v>
      </c>
      <c r="J253" s="17">
        <f t="shared" si="340"/>
        <v>0</v>
      </c>
      <c r="K253" s="17">
        <v>0</v>
      </c>
      <c r="L253" s="17">
        <f t="shared" si="341"/>
        <v>0</v>
      </c>
      <c r="Y253" s="31">
        <f t="shared" si="342"/>
        <v>0</v>
      </c>
      <c r="AA253" s="31">
        <f t="shared" si="343"/>
        <v>0</v>
      </c>
      <c r="AB253" s="31">
        <f t="shared" si="344"/>
        <v>0</v>
      </c>
      <c r="AC253" s="31">
        <f t="shared" si="345"/>
        <v>0</v>
      </c>
      <c r="AD253" s="31">
        <f t="shared" si="346"/>
        <v>0</v>
      </c>
      <c r="AE253" s="31">
        <f t="shared" si="347"/>
        <v>0</v>
      </c>
      <c r="AF253" s="31">
        <f t="shared" si="348"/>
        <v>0</v>
      </c>
      <c r="AG253" s="31">
        <f t="shared" si="349"/>
        <v>0</v>
      </c>
      <c r="AH253" s="26"/>
      <c r="AI253" s="17">
        <f t="shared" si="350"/>
        <v>0</v>
      </c>
      <c r="AJ253" s="17">
        <f t="shared" si="351"/>
        <v>0</v>
      </c>
      <c r="AK253" s="17">
        <f t="shared" si="352"/>
        <v>0</v>
      </c>
      <c r="AM253" s="31">
        <v>21</v>
      </c>
      <c r="AN253" s="31">
        <f>G253*0</f>
        <v>0</v>
      </c>
      <c r="AO253" s="31">
        <f>G253*(1-0)</f>
        <v>0</v>
      </c>
      <c r="AP253" s="27" t="s">
        <v>13</v>
      </c>
      <c r="AU253" s="31">
        <f t="shared" si="353"/>
        <v>0</v>
      </c>
      <c r="AV253" s="31">
        <f t="shared" si="354"/>
        <v>0</v>
      </c>
      <c r="AW253" s="31">
        <f t="shared" si="355"/>
        <v>0</v>
      </c>
      <c r="AX253" s="32" t="s">
        <v>1183</v>
      </c>
      <c r="AY253" s="32" t="s">
        <v>1209</v>
      </c>
      <c r="AZ253" s="26" t="s">
        <v>1215</v>
      </c>
      <c r="BB253" s="31">
        <f t="shared" si="356"/>
        <v>0</v>
      </c>
      <c r="BC253" s="31">
        <f t="shared" si="357"/>
        <v>0</v>
      </c>
      <c r="BD253" s="31">
        <v>0</v>
      </c>
      <c r="BE253" s="31">
        <f t="shared" si="358"/>
        <v>0</v>
      </c>
      <c r="BG253" s="17">
        <f t="shared" si="359"/>
        <v>0</v>
      </c>
      <c r="BH253" s="17">
        <f t="shared" si="360"/>
        <v>0</v>
      </c>
      <c r="BI253" s="17">
        <f t="shared" si="361"/>
        <v>0</v>
      </c>
    </row>
    <row r="254" spans="1:61" ht="12.75">
      <c r="A254" s="4" t="s">
        <v>219</v>
      </c>
      <c r="B254" s="4"/>
      <c r="C254" s="4" t="s">
        <v>599</v>
      </c>
      <c r="D254" s="71" t="s">
        <v>973</v>
      </c>
      <c r="E254" s="4" t="s">
        <v>1123</v>
      </c>
      <c r="F254" s="17">
        <v>22.5</v>
      </c>
      <c r="G254" s="148">
        <v>0</v>
      </c>
      <c r="H254" s="17">
        <f t="shared" si="338"/>
        <v>0</v>
      </c>
      <c r="I254" s="17">
        <f t="shared" si="339"/>
        <v>0</v>
      </c>
      <c r="J254" s="17">
        <f t="shared" si="340"/>
        <v>0</v>
      </c>
      <c r="K254" s="17">
        <v>0</v>
      </c>
      <c r="L254" s="17">
        <f t="shared" si="341"/>
        <v>0</v>
      </c>
      <c r="Y254" s="31">
        <f t="shared" si="342"/>
        <v>0</v>
      </c>
      <c r="AA254" s="31">
        <f t="shared" si="343"/>
        <v>0</v>
      </c>
      <c r="AB254" s="31">
        <f t="shared" si="344"/>
        <v>0</v>
      </c>
      <c r="AC254" s="31">
        <f t="shared" si="345"/>
        <v>0</v>
      </c>
      <c r="AD254" s="31">
        <f t="shared" si="346"/>
        <v>0</v>
      </c>
      <c r="AE254" s="31">
        <f t="shared" si="347"/>
        <v>0</v>
      </c>
      <c r="AF254" s="31">
        <f t="shared" si="348"/>
        <v>0</v>
      </c>
      <c r="AG254" s="31">
        <f t="shared" si="349"/>
        <v>0</v>
      </c>
      <c r="AH254" s="26"/>
      <c r="AI254" s="17">
        <f t="shared" si="350"/>
        <v>0</v>
      </c>
      <c r="AJ254" s="17">
        <f t="shared" si="351"/>
        <v>0</v>
      </c>
      <c r="AK254" s="17">
        <f t="shared" si="352"/>
        <v>0</v>
      </c>
      <c r="AM254" s="31">
        <v>21</v>
      </c>
      <c r="AN254" s="31">
        <f>G254*0.652610441767068</f>
        <v>0</v>
      </c>
      <c r="AO254" s="31">
        <f>G254*(1-0.652610441767068)</f>
        <v>0</v>
      </c>
      <c r="AP254" s="27" t="s">
        <v>13</v>
      </c>
      <c r="AU254" s="31">
        <f t="shared" si="353"/>
        <v>0</v>
      </c>
      <c r="AV254" s="31">
        <f t="shared" si="354"/>
        <v>0</v>
      </c>
      <c r="AW254" s="31">
        <f t="shared" si="355"/>
        <v>0</v>
      </c>
      <c r="AX254" s="32" t="s">
        <v>1183</v>
      </c>
      <c r="AY254" s="32" t="s">
        <v>1209</v>
      </c>
      <c r="AZ254" s="26" t="s">
        <v>1215</v>
      </c>
      <c r="BB254" s="31">
        <f t="shared" si="356"/>
        <v>0</v>
      </c>
      <c r="BC254" s="31">
        <f t="shared" si="357"/>
        <v>0</v>
      </c>
      <c r="BD254" s="31">
        <v>0</v>
      </c>
      <c r="BE254" s="31">
        <f t="shared" si="358"/>
        <v>0</v>
      </c>
      <c r="BG254" s="17">
        <f t="shared" si="359"/>
        <v>0</v>
      </c>
      <c r="BH254" s="17">
        <f t="shared" si="360"/>
        <v>0</v>
      </c>
      <c r="BI254" s="17">
        <f t="shared" si="361"/>
        <v>0</v>
      </c>
    </row>
    <row r="255" spans="1:61" ht="12.75">
      <c r="A255" s="4" t="s">
        <v>220</v>
      </c>
      <c r="B255" s="4"/>
      <c r="C255" s="4" t="s">
        <v>600</v>
      </c>
      <c r="D255" s="71" t="s">
        <v>974</v>
      </c>
      <c r="E255" s="4" t="s">
        <v>1120</v>
      </c>
      <c r="F255" s="17">
        <v>2</v>
      </c>
      <c r="G255" s="148">
        <v>0</v>
      </c>
      <c r="H255" s="17">
        <f t="shared" si="338"/>
        <v>0</v>
      </c>
      <c r="I255" s="17">
        <f t="shared" si="339"/>
        <v>0</v>
      </c>
      <c r="J255" s="17">
        <f t="shared" si="340"/>
        <v>0</v>
      </c>
      <c r="K255" s="17">
        <v>1E-05</v>
      </c>
      <c r="L255" s="17">
        <f t="shared" si="341"/>
        <v>2E-05</v>
      </c>
      <c r="Y255" s="31">
        <f t="shared" si="342"/>
        <v>0</v>
      </c>
      <c r="AA255" s="31">
        <f t="shared" si="343"/>
        <v>0</v>
      </c>
      <c r="AB255" s="31">
        <f t="shared" si="344"/>
        <v>0</v>
      </c>
      <c r="AC255" s="31">
        <f t="shared" si="345"/>
        <v>0</v>
      </c>
      <c r="AD255" s="31">
        <f t="shared" si="346"/>
        <v>0</v>
      </c>
      <c r="AE255" s="31">
        <f t="shared" si="347"/>
        <v>0</v>
      </c>
      <c r="AF255" s="31">
        <f t="shared" si="348"/>
        <v>0</v>
      </c>
      <c r="AG255" s="31">
        <f t="shared" si="349"/>
        <v>0</v>
      </c>
      <c r="AH255" s="26"/>
      <c r="AI255" s="17">
        <f t="shared" si="350"/>
        <v>0</v>
      </c>
      <c r="AJ255" s="17">
        <f t="shared" si="351"/>
        <v>0</v>
      </c>
      <c r="AK255" s="17">
        <f t="shared" si="352"/>
        <v>0</v>
      </c>
      <c r="AM255" s="31">
        <v>21</v>
      </c>
      <c r="AN255" s="31">
        <f>G255*0.696624695221806</f>
        <v>0</v>
      </c>
      <c r="AO255" s="31">
        <f>G255*(1-0.696624695221806)</f>
        <v>0</v>
      </c>
      <c r="AP255" s="27" t="s">
        <v>13</v>
      </c>
      <c r="AU255" s="31">
        <f t="shared" si="353"/>
        <v>0</v>
      </c>
      <c r="AV255" s="31">
        <f t="shared" si="354"/>
        <v>0</v>
      </c>
      <c r="AW255" s="31">
        <f t="shared" si="355"/>
        <v>0</v>
      </c>
      <c r="AX255" s="32" t="s">
        <v>1183</v>
      </c>
      <c r="AY255" s="32" t="s">
        <v>1209</v>
      </c>
      <c r="AZ255" s="26" t="s">
        <v>1215</v>
      </c>
      <c r="BB255" s="31">
        <f t="shared" si="356"/>
        <v>0</v>
      </c>
      <c r="BC255" s="31">
        <f t="shared" si="357"/>
        <v>0</v>
      </c>
      <c r="BD255" s="31">
        <v>0</v>
      </c>
      <c r="BE255" s="31">
        <f t="shared" si="358"/>
        <v>2E-05</v>
      </c>
      <c r="BG255" s="17">
        <f t="shared" si="359"/>
        <v>0</v>
      </c>
      <c r="BH255" s="17">
        <f t="shared" si="360"/>
        <v>0</v>
      </c>
      <c r="BI255" s="17">
        <f t="shared" si="361"/>
        <v>0</v>
      </c>
    </row>
    <row r="256" spans="1:61" ht="12.75">
      <c r="A256" s="5" t="s">
        <v>221</v>
      </c>
      <c r="B256" s="5"/>
      <c r="C256" s="5" t="s">
        <v>601</v>
      </c>
      <c r="D256" s="72" t="s">
        <v>975</v>
      </c>
      <c r="E256" s="5" t="s">
        <v>1120</v>
      </c>
      <c r="F256" s="18">
        <v>8</v>
      </c>
      <c r="G256" s="149">
        <v>0</v>
      </c>
      <c r="H256" s="18">
        <f t="shared" si="338"/>
        <v>0</v>
      </c>
      <c r="I256" s="18">
        <f t="shared" si="339"/>
        <v>0</v>
      </c>
      <c r="J256" s="18">
        <f t="shared" si="340"/>
        <v>0</v>
      </c>
      <c r="K256" s="18">
        <v>0.0001</v>
      </c>
      <c r="L256" s="18">
        <f t="shared" si="341"/>
        <v>0.0008</v>
      </c>
      <c r="Y256" s="31">
        <f t="shared" si="342"/>
        <v>0</v>
      </c>
      <c r="AA256" s="31">
        <f t="shared" si="343"/>
        <v>0</v>
      </c>
      <c r="AB256" s="31">
        <f t="shared" si="344"/>
        <v>0</v>
      </c>
      <c r="AC256" s="31">
        <f t="shared" si="345"/>
        <v>0</v>
      </c>
      <c r="AD256" s="31">
        <f t="shared" si="346"/>
        <v>0</v>
      </c>
      <c r="AE256" s="31">
        <f t="shared" si="347"/>
        <v>0</v>
      </c>
      <c r="AF256" s="31">
        <f t="shared" si="348"/>
        <v>0</v>
      </c>
      <c r="AG256" s="31">
        <f t="shared" si="349"/>
        <v>0</v>
      </c>
      <c r="AH256" s="26"/>
      <c r="AI256" s="18">
        <f t="shared" si="350"/>
        <v>0</v>
      </c>
      <c r="AJ256" s="18">
        <f t="shared" si="351"/>
        <v>0</v>
      </c>
      <c r="AK256" s="18">
        <f t="shared" si="352"/>
        <v>0</v>
      </c>
      <c r="AM256" s="31">
        <v>21</v>
      </c>
      <c r="AN256" s="31">
        <f aca="true" t="shared" si="362" ref="AN256:AN261">G256*1</f>
        <v>0</v>
      </c>
      <c r="AO256" s="31">
        <f aca="true" t="shared" si="363" ref="AO256:AO261">G256*(1-1)</f>
        <v>0</v>
      </c>
      <c r="AP256" s="28" t="s">
        <v>13</v>
      </c>
      <c r="AU256" s="31">
        <f t="shared" si="353"/>
        <v>0</v>
      </c>
      <c r="AV256" s="31">
        <f t="shared" si="354"/>
        <v>0</v>
      </c>
      <c r="AW256" s="31">
        <f t="shared" si="355"/>
        <v>0</v>
      </c>
      <c r="AX256" s="32" t="s">
        <v>1183</v>
      </c>
      <c r="AY256" s="32" t="s">
        <v>1209</v>
      </c>
      <c r="AZ256" s="26" t="s">
        <v>1215</v>
      </c>
      <c r="BB256" s="31">
        <f t="shared" si="356"/>
        <v>0</v>
      </c>
      <c r="BC256" s="31">
        <f t="shared" si="357"/>
        <v>0</v>
      </c>
      <c r="BD256" s="31">
        <v>0</v>
      </c>
      <c r="BE256" s="31">
        <f t="shared" si="358"/>
        <v>0.0008</v>
      </c>
      <c r="BG256" s="18">
        <f t="shared" si="359"/>
        <v>0</v>
      </c>
      <c r="BH256" s="18">
        <f t="shared" si="360"/>
        <v>0</v>
      </c>
      <c r="BI256" s="18">
        <f t="shared" si="361"/>
        <v>0</v>
      </c>
    </row>
    <row r="257" spans="1:61" ht="12.75">
      <c r="A257" s="5" t="s">
        <v>222</v>
      </c>
      <c r="B257" s="5"/>
      <c r="C257" s="5" t="s">
        <v>602</v>
      </c>
      <c r="D257" s="72" t="s">
        <v>976</v>
      </c>
      <c r="E257" s="5" t="s">
        <v>1120</v>
      </c>
      <c r="F257" s="18">
        <v>13</v>
      </c>
      <c r="G257" s="149">
        <v>0</v>
      </c>
      <c r="H257" s="18">
        <f t="shared" si="338"/>
        <v>0</v>
      </c>
      <c r="I257" s="18">
        <f t="shared" si="339"/>
        <v>0</v>
      </c>
      <c r="J257" s="18">
        <f t="shared" si="340"/>
        <v>0</v>
      </c>
      <c r="K257" s="18">
        <v>0.0001</v>
      </c>
      <c r="L257" s="18">
        <f t="shared" si="341"/>
        <v>0.0013000000000000002</v>
      </c>
      <c r="Y257" s="31">
        <f t="shared" si="342"/>
        <v>0</v>
      </c>
      <c r="AA257" s="31">
        <f t="shared" si="343"/>
        <v>0</v>
      </c>
      <c r="AB257" s="31">
        <f t="shared" si="344"/>
        <v>0</v>
      </c>
      <c r="AC257" s="31">
        <f t="shared" si="345"/>
        <v>0</v>
      </c>
      <c r="AD257" s="31">
        <f t="shared" si="346"/>
        <v>0</v>
      </c>
      <c r="AE257" s="31">
        <f t="shared" si="347"/>
        <v>0</v>
      </c>
      <c r="AF257" s="31">
        <f t="shared" si="348"/>
        <v>0</v>
      </c>
      <c r="AG257" s="31">
        <f t="shared" si="349"/>
        <v>0</v>
      </c>
      <c r="AH257" s="26"/>
      <c r="AI257" s="18">
        <f t="shared" si="350"/>
        <v>0</v>
      </c>
      <c r="AJ257" s="18">
        <f t="shared" si="351"/>
        <v>0</v>
      </c>
      <c r="AK257" s="18">
        <f t="shared" si="352"/>
        <v>0</v>
      </c>
      <c r="AM257" s="31">
        <v>21</v>
      </c>
      <c r="AN257" s="31">
        <f t="shared" si="362"/>
        <v>0</v>
      </c>
      <c r="AO257" s="31">
        <f t="shared" si="363"/>
        <v>0</v>
      </c>
      <c r="AP257" s="28" t="s">
        <v>13</v>
      </c>
      <c r="AU257" s="31">
        <f t="shared" si="353"/>
        <v>0</v>
      </c>
      <c r="AV257" s="31">
        <f t="shared" si="354"/>
        <v>0</v>
      </c>
      <c r="AW257" s="31">
        <f t="shared" si="355"/>
        <v>0</v>
      </c>
      <c r="AX257" s="32" t="s">
        <v>1183</v>
      </c>
      <c r="AY257" s="32" t="s">
        <v>1209</v>
      </c>
      <c r="AZ257" s="26" t="s">
        <v>1215</v>
      </c>
      <c r="BB257" s="31">
        <f t="shared" si="356"/>
        <v>0</v>
      </c>
      <c r="BC257" s="31">
        <f t="shared" si="357"/>
        <v>0</v>
      </c>
      <c r="BD257" s="31">
        <v>0</v>
      </c>
      <c r="BE257" s="31">
        <f t="shared" si="358"/>
        <v>0.0013000000000000002</v>
      </c>
      <c r="BG257" s="18">
        <f t="shared" si="359"/>
        <v>0</v>
      </c>
      <c r="BH257" s="18">
        <f t="shared" si="360"/>
        <v>0</v>
      </c>
      <c r="BI257" s="18">
        <f t="shared" si="361"/>
        <v>0</v>
      </c>
    </row>
    <row r="258" spans="1:61" ht="12.75">
      <c r="A258" s="5" t="s">
        <v>223</v>
      </c>
      <c r="B258" s="5"/>
      <c r="C258" s="5" t="s">
        <v>603</v>
      </c>
      <c r="D258" s="72" t="s">
        <v>977</v>
      </c>
      <c r="E258" s="5" t="s">
        <v>1120</v>
      </c>
      <c r="F258" s="18">
        <v>11</v>
      </c>
      <c r="G258" s="149">
        <v>0</v>
      </c>
      <c r="H258" s="18">
        <f t="shared" si="338"/>
        <v>0</v>
      </c>
      <c r="I258" s="18">
        <f t="shared" si="339"/>
        <v>0</v>
      </c>
      <c r="J258" s="18">
        <f t="shared" si="340"/>
        <v>0</v>
      </c>
      <c r="K258" s="18">
        <v>0.016</v>
      </c>
      <c r="L258" s="18">
        <f t="shared" si="341"/>
        <v>0.176</v>
      </c>
      <c r="Y258" s="31">
        <f t="shared" si="342"/>
        <v>0</v>
      </c>
      <c r="AA258" s="31">
        <f t="shared" si="343"/>
        <v>0</v>
      </c>
      <c r="AB258" s="31">
        <f t="shared" si="344"/>
        <v>0</v>
      </c>
      <c r="AC258" s="31">
        <f t="shared" si="345"/>
        <v>0</v>
      </c>
      <c r="AD258" s="31">
        <f t="shared" si="346"/>
        <v>0</v>
      </c>
      <c r="AE258" s="31">
        <f t="shared" si="347"/>
        <v>0</v>
      </c>
      <c r="AF258" s="31">
        <f t="shared" si="348"/>
        <v>0</v>
      </c>
      <c r="AG258" s="31">
        <f t="shared" si="349"/>
        <v>0</v>
      </c>
      <c r="AH258" s="26"/>
      <c r="AI258" s="18">
        <f t="shared" si="350"/>
        <v>0</v>
      </c>
      <c r="AJ258" s="18">
        <f t="shared" si="351"/>
        <v>0</v>
      </c>
      <c r="AK258" s="18">
        <f t="shared" si="352"/>
        <v>0</v>
      </c>
      <c r="AM258" s="31">
        <v>21</v>
      </c>
      <c r="AN258" s="31">
        <f t="shared" si="362"/>
        <v>0</v>
      </c>
      <c r="AO258" s="31">
        <f t="shared" si="363"/>
        <v>0</v>
      </c>
      <c r="AP258" s="28" t="s">
        <v>13</v>
      </c>
      <c r="AU258" s="31">
        <f t="shared" si="353"/>
        <v>0</v>
      </c>
      <c r="AV258" s="31">
        <f t="shared" si="354"/>
        <v>0</v>
      </c>
      <c r="AW258" s="31">
        <f t="shared" si="355"/>
        <v>0</v>
      </c>
      <c r="AX258" s="32" t="s">
        <v>1183</v>
      </c>
      <c r="AY258" s="32" t="s">
        <v>1209</v>
      </c>
      <c r="AZ258" s="26" t="s">
        <v>1215</v>
      </c>
      <c r="BB258" s="31">
        <f t="shared" si="356"/>
        <v>0</v>
      </c>
      <c r="BC258" s="31">
        <f t="shared" si="357"/>
        <v>0</v>
      </c>
      <c r="BD258" s="31">
        <v>0</v>
      </c>
      <c r="BE258" s="31">
        <f t="shared" si="358"/>
        <v>0.176</v>
      </c>
      <c r="BG258" s="18">
        <f t="shared" si="359"/>
        <v>0</v>
      </c>
      <c r="BH258" s="18">
        <f t="shared" si="360"/>
        <v>0</v>
      </c>
      <c r="BI258" s="18">
        <f t="shared" si="361"/>
        <v>0</v>
      </c>
    </row>
    <row r="259" spans="1:61" ht="12.75">
      <c r="A259" s="5" t="s">
        <v>224</v>
      </c>
      <c r="B259" s="5"/>
      <c r="C259" s="5" t="s">
        <v>604</v>
      </c>
      <c r="D259" s="72" t="s">
        <v>978</v>
      </c>
      <c r="E259" s="5" t="s">
        <v>1120</v>
      </c>
      <c r="F259" s="18">
        <v>5</v>
      </c>
      <c r="G259" s="149">
        <v>0</v>
      </c>
      <c r="H259" s="18">
        <f t="shared" si="338"/>
        <v>0</v>
      </c>
      <c r="I259" s="18">
        <f t="shared" si="339"/>
        <v>0</v>
      </c>
      <c r="J259" s="18">
        <f t="shared" si="340"/>
        <v>0</v>
      </c>
      <c r="K259" s="18">
        <v>0.02</v>
      </c>
      <c r="L259" s="18">
        <f t="shared" si="341"/>
        <v>0.1</v>
      </c>
      <c r="Y259" s="31">
        <f t="shared" si="342"/>
        <v>0</v>
      </c>
      <c r="AA259" s="31">
        <f t="shared" si="343"/>
        <v>0</v>
      </c>
      <c r="AB259" s="31">
        <f t="shared" si="344"/>
        <v>0</v>
      </c>
      <c r="AC259" s="31">
        <f t="shared" si="345"/>
        <v>0</v>
      </c>
      <c r="AD259" s="31">
        <f t="shared" si="346"/>
        <v>0</v>
      </c>
      <c r="AE259" s="31">
        <f t="shared" si="347"/>
        <v>0</v>
      </c>
      <c r="AF259" s="31">
        <f t="shared" si="348"/>
        <v>0</v>
      </c>
      <c r="AG259" s="31">
        <f t="shared" si="349"/>
        <v>0</v>
      </c>
      <c r="AH259" s="26"/>
      <c r="AI259" s="18">
        <f t="shared" si="350"/>
        <v>0</v>
      </c>
      <c r="AJ259" s="18">
        <f t="shared" si="351"/>
        <v>0</v>
      </c>
      <c r="AK259" s="18">
        <f t="shared" si="352"/>
        <v>0</v>
      </c>
      <c r="AM259" s="31">
        <v>21</v>
      </c>
      <c r="AN259" s="31">
        <f t="shared" si="362"/>
        <v>0</v>
      </c>
      <c r="AO259" s="31">
        <f t="shared" si="363"/>
        <v>0</v>
      </c>
      <c r="AP259" s="28" t="s">
        <v>13</v>
      </c>
      <c r="AU259" s="31">
        <f t="shared" si="353"/>
        <v>0</v>
      </c>
      <c r="AV259" s="31">
        <f t="shared" si="354"/>
        <v>0</v>
      </c>
      <c r="AW259" s="31">
        <f t="shared" si="355"/>
        <v>0</v>
      </c>
      <c r="AX259" s="32" t="s">
        <v>1183</v>
      </c>
      <c r="AY259" s="32" t="s">
        <v>1209</v>
      </c>
      <c r="AZ259" s="26" t="s">
        <v>1215</v>
      </c>
      <c r="BB259" s="31">
        <f t="shared" si="356"/>
        <v>0</v>
      </c>
      <c r="BC259" s="31">
        <f t="shared" si="357"/>
        <v>0</v>
      </c>
      <c r="BD259" s="31">
        <v>0</v>
      </c>
      <c r="BE259" s="31">
        <f t="shared" si="358"/>
        <v>0.1</v>
      </c>
      <c r="BG259" s="18">
        <f t="shared" si="359"/>
        <v>0</v>
      </c>
      <c r="BH259" s="18">
        <f t="shared" si="360"/>
        <v>0</v>
      </c>
      <c r="BI259" s="18">
        <f t="shared" si="361"/>
        <v>0</v>
      </c>
    </row>
    <row r="260" spans="1:61" ht="12.75">
      <c r="A260" s="5" t="s">
        <v>225</v>
      </c>
      <c r="B260" s="5"/>
      <c r="C260" s="5" t="s">
        <v>605</v>
      </c>
      <c r="D260" s="72" t="s">
        <v>979</v>
      </c>
      <c r="E260" s="5" t="s">
        <v>1120</v>
      </c>
      <c r="F260" s="18">
        <v>2</v>
      </c>
      <c r="G260" s="149">
        <v>0</v>
      </c>
      <c r="H260" s="18">
        <f t="shared" si="338"/>
        <v>0</v>
      </c>
      <c r="I260" s="18">
        <f t="shared" si="339"/>
        <v>0</v>
      </c>
      <c r="J260" s="18">
        <f t="shared" si="340"/>
        <v>0</v>
      </c>
      <c r="K260" s="18">
        <v>0.021</v>
      </c>
      <c r="L260" s="18">
        <f t="shared" si="341"/>
        <v>0.042</v>
      </c>
      <c r="Y260" s="31">
        <f t="shared" si="342"/>
        <v>0</v>
      </c>
      <c r="AA260" s="31">
        <f t="shared" si="343"/>
        <v>0</v>
      </c>
      <c r="AB260" s="31">
        <f t="shared" si="344"/>
        <v>0</v>
      </c>
      <c r="AC260" s="31">
        <f t="shared" si="345"/>
        <v>0</v>
      </c>
      <c r="AD260" s="31">
        <f t="shared" si="346"/>
        <v>0</v>
      </c>
      <c r="AE260" s="31">
        <f t="shared" si="347"/>
        <v>0</v>
      </c>
      <c r="AF260" s="31">
        <f t="shared" si="348"/>
        <v>0</v>
      </c>
      <c r="AG260" s="31">
        <f t="shared" si="349"/>
        <v>0</v>
      </c>
      <c r="AH260" s="26"/>
      <c r="AI260" s="18">
        <f t="shared" si="350"/>
        <v>0</v>
      </c>
      <c r="AJ260" s="18">
        <f t="shared" si="351"/>
        <v>0</v>
      </c>
      <c r="AK260" s="18">
        <f t="shared" si="352"/>
        <v>0</v>
      </c>
      <c r="AM260" s="31">
        <v>21</v>
      </c>
      <c r="AN260" s="31">
        <f t="shared" si="362"/>
        <v>0</v>
      </c>
      <c r="AO260" s="31">
        <f t="shared" si="363"/>
        <v>0</v>
      </c>
      <c r="AP260" s="28" t="s">
        <v>13</v>
      </c>
      <c r="AU260" s="31">
        <f t="shared" si="353"/>
        <v>0</v>
      </c>
      <c r="AV260" s="31">
        <f t="shared" si="354"/>
        <v>0</v>
      </c>
      <c r="AW260" s="31">
        <f t="shared" si="355"/>
        <v>0</v>
      </c>
      <c r="AX260" s="32" t="s">
        <v>1183</v>
      </c>
      <c r="AY260" s="32" t="s">
        <v>1209</v>
      </c>
      <c r="AZ260" s="26" t="s">
        <v>1215</v>
      </c>
      <c r="BB260" s="31">
        <f t="shared" si="356"/>
        <v>0</v>
      </c>
      <c r="BC260" s="31">
        <f t="shared" si="357"/>
        <v>0</v>
      </c>
      <c r="BD260" s="31">
        <v>0</v>
      </c>
      <c r="BE260" s="31">
        <f t="shared" si="358"/>
        <v>0.042</v>
      </c>
      <c r="BG260" s="18">
        <f t="shared" si="359"/>
        <v>0</v>
      </c>
      <c r="BH260" s="18">
        <f t="shared" si="360"/>
        <v>0</v>
      </c>
      <c r="BI260" s="18">
        <f t="shared" si="361"/>
        <v>0</v>
      </c>
    </row>
    <row r="261" spans="1:61" ht="12.75">
      <c r="A261" s="5"/>
      <c r="B261" s="5"/>
      <c r="C261" s="5" t="s">
        <v>1301</v>
      </c>
      <c r="D261" s="72" t="s">
        <v>1302</v>
      </c>
      <c r="E261" s="5" t="s">
        <v>1120</v>
      </c>
      <c r="F261" s="18">
        <v>3</v>
      </c>
      <c r="G261" s="149">
        <v>0</v>
      </c>
      <c r="H261" s="18">
        <f>F261*AN261</f>
        <v>0</v>
      </c>
      <c r="I261" s="18">
        <f>F261*AO261</f>
        <v>0</v>
      </c>
      <c r="J261" s="18">
        <f>F261*G261</f>
        <v>0</v>
      </c>
      <c r="K261" s="18">
        <v>0.021</v>
      </c>
      <c r="L261" s="18">
        <f>F261*K261</f>
        <v>0.063</v>
      </c>
      <c r="Y261" s="31">
        <f>IF(AP261="5",BI261,0)</f>
        <v>0</v>
      </c>
      <c r="AA261" s="31">
        <f>IF(AP261="1",BG261,0)</f>
        <v>0</v>
      </c>
      <c r="AB261" s="31">
        <f>IF(AP261="1",BH261,0)</f>
        <v>0</v>
      </c>
      <c r="AC261" s="31">
        <f>IF(AP261="7",BG261,0)</f>
        <v>0</v>
      </c>
      <c r="AD261" s="31">
        <f>IF(AP261="7",BH261,0)</f>
        <v>0</v>
      </c>
      <c r="AE261" s="31">
        <f>IF(AP261="2",BG261,0)</f>
        <v>0</v>
      </c>
      <c r="AF261" s="31">
        <f>IF(AP261="2",BH261,0)</f>
        <v>0</v>
      </c>
      <c r="AG261" s="31">
        <f>IF(AP261="0",BI261,0)</f>
        <v>0</v>
      </c>
      <c r="AH261" s="26"/>
      <c r="AI261" s="18">
        <f>IF(AM261=0,J261,0)</f>
        <v>0</v>
      </c>
      <c r="AJ261" s="18">
        <f>IF(AM261=15,J261,0)</f>
        <v>0</v>
      </c>
      <c r="AK261" s="18">
        <f>IF(AM261=21,J261,0)</f>
        <v>0</v>
      </c>
      <c r="AM261" s="31">
        <v>21</v>
      </c>
      <c r="AN261" s="31">
        <f t="shared" si="362"/>
        <v>0</v>
      </c>
      <c r="AO261" s="31">
        <f t="shared" si="363"/>
        <v>0</v>
      </c>
      <c r="AP261" s="28" t="s">
        <v>13</v>
      </c>
      <c r="AU261" s="31">
        <f>AV261+AW261</f>
        <v>0</v>
      </c>
      <c r="AV261" s="31">
        <f>F261*AN261</f>
        <v>0</v>
      </c>
      <c r="AW261" s="31">
        <f>F261*AO261</f>
        <v>0</v>
      </c>
      <c r="AX261" s="32" t="s">
        <v>1183</v>
      </c>
      <c r="AY261" s="32" t="s">
        <v>1209</v>
      </c>
      <c r="AZ261" s="26" t="s">
        <v>1215</v>
      </c>
      <c r="BB261" s="31">
        <f>AV261+AW261</f>
        <v>0</v>
      </c>
      <c r="BC261" s="31">
        <f>G261/(100-BD261)*100</f>
        <v>0</v>
      </c>
      <c r="BD261" s="31">
        <v>0</v>
      </c>
      <c r="BE261" s="31">
        <f>L261</f>
        <v>0.063</v>
      </c>
      <c r="BG261" s="18">
        <f>F261*AN261</f>
        <v>0</v>
      </c>
      <c r="BH261" s="18">
        <f>F261*AO261</f>
        <v>0</v>
      </c>
      <c r="BI261" s="18">
        <f>F261*G261</f>
        <v>0</v>
      </c>
    </row>
    <row r="262" spans="1:61" ht="12.75">
      <c r="A262" s="4" t="s">
        <v>226</v>
      </c>
      <c r="B262" s="4"/>
      <c r="C262" s="4" t="s">
        <v>597</v>
      </c>
      <c r="D262" s="71" t="s">
        <v>971</v>
      </c>
      <c r="E262" s="4" t="s">
        <v>1120</v>
      </c>
      <c r="F262" s="17">
        <v>21</v>
      </c>
      <c r="G262" s="148">
        <v>0</v>
      </c>
      <c r="H262" s="17">
        <f t="shared" si="338"/>
        <v>0</v>
      </c>
      <c r="I262" s="17">
        <f t="shared" si="339"/>
        <v>0</v>
      </c>
      <c r="J262" s="17">
        <f t="shared" si="340"/>
        <v>0</v>
      </c>
      <c r="K262" s="17">
        <v>0</v>
      </c>
      <c r="L262" s="17">
        <f t="shared" si="341"/>
        <v>0</v>
      </c>
      <c r="Y262" s="31">
        <f t="shared" si="342"/>
        <v>0</v>
      </c>
      <c r="AA262" s="31">
        <f t="shared" si="343"/>
        <v>0</v>
      </c>
      <c r="AB262" s="31">
        <f t="shared" si="344"/>
        <v>0</v>
      </c>
      <c r="AC262" s="31">
        <f t="shared" si="345"/>
        <v>0</v>
      </c>
      <c r="AD262" s="31">
        <f t="shared" si="346"/>
        <v>0</v>
      </c>
      <c r="AE262" s="31">
        <f t="shared" si="347"/>
        <v>0</v>
      </c>
      <c r="AF262" s="31">
        <f t="shared" si="348"/>
        <v>0</v>
      </c>
      <c r="AG262" s="31">
        <f t="shared" si="349"/>
        <v>0</v>
      </c>
      <c r="AH262" s="26"/>
      <c r="AI262" s="17">
        <f t="shared" si="350"/>
        <v>0</v>
      </c>
      <c r="AJ262" s="17">
        <f t="shared" si="351"/>
        <v>0</v>
      </c>
      <c r="AK262" s="17">
        <f t="shared" si="352"/>
        <v>0</v>
      </c>
      <c r="AM262" s="31">
        <v>21</v>
      </c>
      <c r="AN262" s="31">
        <f>G262*0</f>
        <v>0</v>
      </c>
      <c r="AO262" s="31">
        <f>G262*(1-0)</f>
        <v>0</v>
      </c>
      <c r="AP262" s="27" t="s">
        <v>13</v>
      </c>
      <c r="AU262" s="31">
        <f t="shared" si="353"/>
        <v>0</v>
      </c>
      <c r="AV262" s="31">
        <f t="shared" si="354"/>
        <v>0</v>
      </c>
      <c r="AW262" s="31">
        <f t="shared" si="355"/>
        <v>0</v>
      </c>
      <c r="AX262" s="32" t="s">
        <v>1183</v>
      </c>
      <c r="AY262" s="32" t="s">
        <v>1209</v>
      </c>
      <c r="AZ262" s="26" t="s">
        <v>1215</v>
      </c>
      <c r="BB262" s="31">
        <f t="shared" si="356"/>
        <v>0</v>
      </c>
      <c r="BC262" s="31">
        <f t="shared" si="357"/>
        <v>0</v>
      </c>
      <c r="BD262" s="31">
        <v>0</v>
      </c>
      <c r="BE262" s="31">
        <f t="shared" si="358"/>
        <v>0</v>
      </c>
      <c r="BG262" s="17">
        <f t="shared" si="359"/>
        <v>0</v>
      </c>
      <c r="BH262" s="17">
        <f t="shared" si="360"/>
        <v>0</v>
      </c>
      <c r="BI262" s="17">
        <f t="shared" si="361"/>
        <v>0</v>
      </c>
    </row>
    <row r="263" spans="1:61" ht="12.75">
      <c r="A263" s="4" t="s">
        <v>227</v>
      </c>
      <c r="B263" s="4"/>
      <c r="C263" s="4" t="s">
        <v>598</v>
      </c>
      <c r="D263" s="71" t="s">
        <v>972</v>
      </c>
      <c r="E263" s="4" t="s">
        <v>1120</v>
      </c>
      <c r="F263" s="17">
        <v>21</v>
      </c>
      <c r="G263" s="148">
        <v>0</v>
      </c>
      <c r="H263" s="17">
        <f t="shared" si="338"/>
        <v>0</v>
      </c>
      <c r="I263" s="17">
        <f t="shared" si="339"/>
        <v>0</v>
      </c>
      <c r="J263" s="17">
        <f t="shared" si="340"/>
        <v>0</v>
      </c>
      <c r="K263" s="17">
        <v>0</v>
      </c>
      <c r="L263" s="17">
        <f t="shared" si="341"/>
        <v>0</v>
      </c>
      <c r="Y263" s="31">
        <f t="shared" si="342"/>
        <v>0</v>
      </c>
      <c r="AA263" s="31">
        <f t="shared" si="343"/>
        <v>0</v>
      </c>
      <c r="AB263" s="31">
        <f t="shared" si="344"/>
        <v>0</v>
      </c>
      <c r="AC263" s="31">
        <f t="shared" si="345"/>
        <v>0</v>
      </c>
      <c r="AD263" s="31">
        <f t="shared" si="346"/>
        <v>0</v>
      </c>
      <c r="AE263" s="31">
        <f t="shared" si="347"/>
        <v>0</v>
      </c>
      <c r="AF263" s="31">
        <f t="shared" si="348"/>
        <v>0</v>
      </c>
      <c r="AG263" s="31">
        <f t="shared" si="349"/>
        <v>0</v>
      </c>
      <c r="AH263" s="26"/>
      <c r="AI263" s="17">
        <f t="shared" si="350"/>
        <v>0</v>
      </c>
      <c r="AJ263" s="17">
        <f t="shared" si="351"/>
        <v>0</v>
      </c>
      <c r="AK263" s="17">
        <f t="shared" si="352"/>
        <v>0</v>
      </c>
      <c r="AM263" s="31">
        <v>21</v>
      </c>
      <c r="AN263" s="31">
        <f>G263*0</f>
        <v>0</v>
      </c>
      <c r="AO263" s="31">
        <f>G263*(1-0)</f>
        <v>0</v>
      </c>
      <c r="AP263" s="27" t="s">
        <v>13</v>
      </c>
      <c r="AU263" s="31">
        <f t="shared" si="353"/>
        <v>0</v>
      </c>
      <c r="AV263" s="31">
        <f t="shared" si="354"/>
        <v>0</v>
      </c>
      <c r="AW263" s="31">
        <f t="shared" si="355"/>
        <v>0</v>
      </c>
      <c r="AX263" s="32" t="s">
        <v>1183</v>
      </c>
      <c r="AY263" s="32" t="s">
        <v>1209</v>
      </c>
      <c r="AZ263" s="26" t="s">
        <v>1215</v>
      </c>
      <c r="BB263" s="31">
        <f t="shared" si="356"/>
        <v>0</v>
      </c>
      <c r="BC263" s="31">
        <f t="shared" si="357"/>
        <v>0</v>
      </c>
      <c r="BD263" s="31">
        <v>0</v>
      </c>
      <c r="BE263" s="31">
        <f t="shared" si="358"/>
        <v>0</v>
      </c>
      <c r="BG263" s="17">
        <f t="shared" si="359"/>
        <v>0</v>
      </c>
      <c r="BH263" s="17">
        <f t="shared" si="360"/>
        <v>0</v>
      </c>
      <c r="BI263" s="17">
        <f t="shared" si="361"/>
        <v>0</v>
      </c>
    </row>
    <row r="264" spans="1:61" ht="12.75">
      <c r="A264" s="5" t="s">
        <v>228</v>
      </c>
      <c r="B264" s="5"/>
      <c r="C264" s="5" t="s">
        <v>605</v>
      </c>
      <c r="D264" s="72" t="s">
        <v>979</v>
      </c>
      <c r="E264" s="5" t="s">
        <v>1120</v>
      </c>
      <c r="F264" s="18">
        <v>4</v>
      </c>
      <c r="G264" s="149">
        <v>0</v>
      </c>
      <c r="H264" s="18">
        <f t="shared" si="338"/>
        <v>0</v>
      </c>
      <c r="I264" s="18">
        <f t="shared" si="339"/>
        <v>0</v>
      </c>
      <c r="J264" s="18">
        <f t="shared" si="340"/>
        <v>0</v>
      </c>
      <c r="K264" s="18">
        <v>0.021</v>
      </c>
      <c r="L264" s="18">
        <f t="shared" si="341"/>
        <v>0.084</v>
      </c>
      <c r="Y264" s="31">
        <f t="shared" si="342"/>
        <v>0</v>
      </c>
      <c r="AA264" s="31">
        <f t="shared" si="343"/>
        <v>0</v>
      </c>
      <c r="AB264" s="31">
        <f t="shared" si="344"/>
        <v>0</v>
      </c>
      <c r="AC264" s="31">
        <f t="shared" si="345"/>
        <v>0</v>
      </c>
      <c r="AD264" s="31">
        <f t="shared" si="346"/>
        <v>0</v>
      </c>
      <c r="AE264" s="31">
        <f t="shared" si="347"/>
        <v>0</v>
      </c>
      <c r="AF264" s="31">
        <f t="shared" si="348"/>
        <v>0</v>
      </c>
      <c r="AG264" s="31">
        <f t="shared" si="349"/>
        <v>0</v>
      </c>
      <c r="AH264" s="26"/>
      <c r="AI264" s="18">
        <f t="shared" si="350"/>
        <v>0</v>
      </c>
      <c r="AJ264" s="18">
        <f t="shared" si="351"/>
        <v>0</v>
      </c>
      <c r="AK264" s="18">
        <f t="shared" si="352"/>
        <v>0</v>
      </c>
      <c r="AM264" s="31">
        <v>21</v>
      </c>
      <c r="AN264" s="31">
        <f>G264*1</f>
        <v>0</v>
      </c>
      <c r="AO264" s="31">
        <f>G264*(1-1)</f>
        <v>0</v>
      </c>
      <c r="AP264" s="28" t="s">
        <v>13</v>
      </c>
      <c r="AU264" s="31">
        <f t="shared" si="353"/>
        <v>0</v>
      </c>
      <c r="AV264" s="31">
        <f t="shared" si="354"/>
        <v>0</v>
      </c>
      <c r="AW264" s="31">
        <f t="shared" si="355"/>
        <v>0</v>
      </c>
      <c r="AX264" s="32" t="s">
        <v>1183</v>
      </c>
      <c r="AY264" s="32" t="s">
        <v>1209</v>
      </c>
      <c r="AZ264" s="26" t="s">
        <v>1215</v>
      </c>
      <c r="BB264" s="31">
        <f t="shared" si="356"/>
        <v>0</v>
      </c>
      <c r="BC264" s="31">
        <f t="shared" si="357"/>
        <v>0</v>
      </c>
      <c r="BD264" s="31">
        <v>0</v>
      </c>
      <c r="BE264" s="31">
        <f t="shared" si="358"/>
        <v>0.084</v>
      </c>
      <c r="BG264" s="18">
        <f t="shared" si="359"/>
        <v>0</v>
      </c>
      <c r="BH264" s="18">
        <f t="shared" si="360"/>
        <v>0</v>
      </c>
      <c r="BI264" s="18">
        <f t="shared" si="361"/>
        <v>0</v>
      </c>
    </row>
    <row r="265" spans="1:61" ht="12.75">
      <c r="A265" s="5" t="s">
        <v>229</v>
      </c>
      <c r="B265" s="5"/>
      <c r="C265" s="5" t="s">
        <v>605</v>
      </c>
      <c r="D265" s="72" t="s">
        <v>980</v>
      </c>
      <c r="E265" s="5" t="s">
        <v>1120</v>
      </c>
      <c r="F265" s="18">
        <v>1</v>
      </c>
      <c r="G265" s="149">
        <v>0</v>
      </c>
      <c r="H265" s="18">
        <f t="shared" si="338"/>
        <v>0</v>
      </c>
      <c r="I265" s="18">
        <f t="shared" si="339"/>
        <v>0</v>
      </c>
      <c r="J265" s="18">
        <f t="shared" si="340"/>
        <v>0</v>
      </c>
      <c r="K265" s="18">
        <v>0.021</v>
      </c>
      <c r="L265" s="18">
        <f t="shared" si="341"/>
        <v>0.021</v>
      </c>
      <c r="Y265" s="31">
        <f t="shared" si="342"/>
        <v>0</v>
      </c>
      <c r="AA265" s="31">
        <f t="shared" si="343"/>
        <v>0</v>
      </c>
      <c r="AB265" s="31">
        <f t="shared" si="344"/>
        <v>0</v>
      </c>
      <c r="AC265" s="31">
        <f t="shared" si="345"/>
        <v>0</v>
      </c>
      <c r="AD265" s="31">
        <f t="shared" si="346"/>
        <v>0</v>
      </c>
      <c r="AE265" s="31">
        <f t="shared" si="347"/>
        <v>0</v>
      </c>
      <c r="AF265" s="31">
        <f t="shared" si="348"/>
        <v>0</v>
      </c>
      <c r="AG265" s="31">
        <f t="shared" si="349"/>
        <v>0</v>
      </c>
      <c r="AH265" s="26"/>
      <c r="AI265" s="18">
        <f t="shared" si="350"/>
        <v>0</v>
      </c>
      <c r="AJ265" s="18">
        <f t="shared" si="351"/>
        <v>0</v>
      </c>
      <c r="AK265" s="18">
        <f t="shared" si="352"/>
        <v>0</v>
      </c>
      <c r="AM265" s="31">
        <v>21</v>
      </c>
      <c r="AN265" s="31">
        <f>G265*1</f>
        <v>0</v>
      </c>
      <c r="AO265" s="31">
        <f>G265*(1-1)</f>
        <v>0</v>
      </c>
      <c r="AP265" s="28" t="s">
        <v>13</v>
      </c>
      <c r="AU265" s="31">
        <f t="shared" si="353"/>
        <v>0</v>
      </c>
      <c r="AV265" s="31">
        <f t="shared" si="354"/>
        <v>0</v>
      </c>
      <c r="AW265" s="31">
        <f t="shared" si="355"/>
        <v>0</v>
      </c>
      <c r="AX265" s="32" t="s">
        <v>1183</v>
      </c>
      <c r="AY265" s="32" t="s">
        <v>1209</v>
      </c>
      <c r="AZ265" s="26" t="s">
        <v>1215</v>
      </c>
      <c r="BB265" s="31">
        <f t="shared" si="356"/>
        <v>0</v>
      </c>
      <c r="BC265" s="31">
        <f t="shared" si="357"/>
        <v>0</v>
      </c>
      <c r="BD265" s="31">
        <v>0</v>
      </c>
      <c r="BE265" s="31">
        <f t="shared" si="358"/>
        <v>0.021</v>
      </c>
      <c r="BG265" s="18">
        <f t="shared" si="359"/>
        <v>0</v>
      </c>
      <c r="BH265" s="18">
        <f t="shared" si="360"/>
        <v>0</v>
      </c>
      <c r="BI265" s="18">
        <f t="shared" si="361"/>
        <v>0</v>
      </c>
    </row>
    <row r="266" spans="1:61" ht="12.75">
      <c r="A266" s="4" t="s">
        <v>230</v>
      </c>
      <c r="B266" s="4"/>
      <c r="C266" s="4" t="s">
        <v>606</v>
      </c>
      <c r="D266" s="71" t="s">
        <v>981</v>
      </c>
      <c r="E266" s="4" t="s">
        <v>1120</v>
      </c>
      <c r="F266" s="17">
        <v>1</v>
      </c>
      <c r="G266" s="148">
        <v>0</v>
      </c>
      <c r="H266" s="17">
        <f t="shared" si="338"/>
        <v>0</v>
      </c>
      <c r="I266" s="17">
        <f t="shared" si="339"/>
        <v>0</v>
      </c>
      <c r="J266" s="17">
        <f t="shared" si="340"/>
        <v>0</v>
      </c>
      <c r="K266" s="17">
        <v>0.174</v>
      </c>
      <c r="L266" s="17">
        <f t="shared" si="341"/>
        <v>0.174</v>
      </c>
      <c r="Y266" s="31">
        <f t="shared" si="342"/>
        <v>0</v>
      </c>
      <c r="AA266" s="31">
        <f t="shared" si="343"/>
        <v>0</v>
      </c>
      <c r="AB266" s="31">
        <f t="shared" si="344"/>
        <v>0</v>
      </c>
      <c r="AC266" s="31">
        <f t="shared" si="345"/>
        <v>0</v>
      </c>
      <c r="AD266" s="31">
        <f t="shared" si="346"/>
        <v>0</v>
      </c>
      <c r="AE266" s="31">
        <f t="shared" si="347"/>
        <v>0</v>
      </c>
      <c r="AF266" s="31">
        <f t="shared" si="348"/>
        <v>0</v>
      </c>
      <c r="AG266" s="31">
        <f t="shared" si="349"/>
        <v>0</v>
      </c>
      <c r="AH266" s="26"/>
      <c r="AI266" s="17">
        <f t="shared" si="350"/>
        <v>0</v>
      </c>
      <c r="AJ266" s="17">
        <f t="shared" si="351"/>
        <v>0</v>
      </c>
      <c r="AK266" s="17">
        <f t="shared" si="352"/>
        <v>0</v>
      </c>
      <c r="AM266" s="31">
        <v>21</v>
      </c>
      <c r="AN266" s="31">
        <f>G266*0</f>
        <v>0</v>
      </c>
      <c r="AO266" s="31">
        <f>G266*(1-0)</f>
        <v>0</v>
      </c>
      <c r="AP266" s="27" t="s">
        <v>13</v>
      </c>
      <c r="AU266" s="31">
        <f t="shared" si="353"/>
        <v>0</v>
      </c>
      <c r="AV266" s="31">
        <f t="shared" si="354"/>
        <v>0</v>
      </c>
      <c r="AW266" s="31">
        <f t="shared" si="355"/>
        <v>0</v>
      </c>
      <c r="AX266" s="32" t="s">
        <v>1183</v>
      </c>
      <c r="AY266" s="32" t="s">
        <v>1209</v>
      </c>
      <c r="AZ266" s="26" t="s">
        <v>1215</v>
      </c>
      <c r="BB266" s="31">
        <f t="shared" si="356"/>
        <v>0</v>
      </c>
      <c r="BC266" s="31">
        <f t="shared" si="357"/>
        <v>0</v>
      </c>
      <c r="BD266" s="31">
        <v>0</v>
      </c>
      <c r="BE266" s="31">
        <f t="shared" si="358"/>
        <v>0.174</v>
      </c>
      <c r="BG266" s="17">
        <f t="shared" si="359"/>
        <v>0</v>
      </c>
      <c r="BH266" s="17">
        <f t="shared" si="360"/>
        <v>0</v>
      </c>
      <c r="BI266" s="17">
        <f t="shared" si="361"/>
        <v>0</v>
      </c>
    </row>
    <row r="267" spans="1:61" ht="12.75">
      <c r="A267" s="4" t="s">
        <v>231</v>
      </c>
      <c r="B267" s="4"/>
      <c r="C267" s="4" t="s">
        <v>607</v>
      </c>
      <c r="D267" s="71" t="s">
        <v>982</v>
      </c>
      <c r="E267" s="4" t="s">
        <v>1120</v>
      </c>
      <c r="F267" s="17">
        <v>1</v>
      </c>
      <c r="G267" s="148">
        <v>0</v>
      </c>
      <c r="H267" s="17">
        <f t="shared" si="338"/>
        <v>0</v>
      </c>
      <c r="I267" s="17">
        <f t="shared" si="339"/>
        <v>0</v>
      </c>
      <c r="J267" s="17">
        <f t="shared" si="340"/>
        <v>0</v>
      </c>
      <c r="K267" s="17">
        <v>0</v>
      </c>
      <c r="L267" s="17">
        <f t="shared" si="341"/>
        <v>0</v>
      </c>
      <c r="Y267" s="31">
        <f t="shared" si="342"/>
        <v>0</v>
      </c>
      <c r="AA267" s="31">
        <f t="shared" si="343"/>
        <v>0</v>
      </c>
      <c r="AB267" s="31">
        <f t="shared" si="344"/>
        <v>0</v>
      </c>
      <c r="AC267" s="31">
        <f t="shared" si="345"/>
        <v>0</v>
      </c>
      <c r="AD267" s="31">
        <f t="shared" si="346"/>
        <v>0</v>
      </c>
      <c r="AE267" s="31">
        <f t="shared" si="347"/>
        <v>0</v>
      </c>
      <c r="AF267" s="31">
        <f t="shared" si="348"/>
        <v>0</v>
      </c>
      <c r="AG267" s="31">
        <f t="shared" si="349"/>
        <v>0</v>
      </c>
      <c r="AH267" s="26"/>
      <c r="AI267" s="17">
        <f t="shared" si="350"/>
        <v>0</v>
      </c>
      <c r="AJ267" s="17">
        <f t="shared" si="351"/>
        <v>0</v>
      </c>
      <c r="AK267" s="17">
        <f t="shared" si="352"/>
        <v>0</v>
      </c>
      <c r="AM267" s="31">
        <v>21</v>
      </c>
      <c r="AN267" s="31">
        <f>G267*0.670430486944248</f>
        <v>0</v>
      </c>
      <c r="AO267" s="31">
        <f>G267*(1-0.670430486944248)</f>
        <v>0</v>
      </c>
      <c r="AP267" s="27" t="s">
        <v>13</v>
      </c>
      <c r="AU267" s="31">
        <f t="shared" si="353"/>
        <v>0</v>
      </c>
      <c r="AV267" s="31">
        <f t="shared" si="354"/>
        <v>0</v>
      </c>
      <c r="AW267" s="31">
        <f t="shared" si="355"/>
        <v>0</v>
      </c>
      <c r="AX267" s="32" t="s">
        <v>1183</v>
      </c>
      <c r="AY267" s="32" t="s">
        <v>1209</v>
      </c>
      <c r="AZ267" s="26" t="s">
        <v>1215</v>
      </c>
      <c r="BB267" s="31">
        <f t="shared" si="356"/>
        <v>0</v>
      </c>
      <c r="BC267" s="31">
        <f t="shared" si="357"/>
        <v>0</v>
      </c>
      <c r="BD267" s="31">
        <v>0</v>
      </c>
      <c r="BE267" s="31">
        <f t="shared" si="358"/>
        <v>0</v>
      </c>
      <c r="BG267" s="17">
        <f t="shared" si="359"/>
        <v>0</v>
      </c>
      <c r="BH267" s="17">
        <f t="shared" si="360"/>
        <v>0</v>
      </c>
      <c r="BI267" s="17">
        <f t="shared" si="361"/>
        <v>0</v>
      </c>
    </row>
    <row r="268" spans="1:46" ht="12.75">
      <c r="A268" s="6"/>
      <c r="B268" s="13"/>
      <c r="C268" s="13" t="s">
        <v>608</v>
      </c>
      <c r="D268" s="73" t="s">
        <v>983</v>
      </c>
      <c r="E268" s="6" t="s">
        <v>6</v>
      </c>
      <c r="F268" s="6" t="s">
        <v>6</v>
      </c>
      <c r="G268" s="151" t="s">
        <v>6</v>
      </c>
      <c r="H268" s="34">
        <f>SUM(H269:H270)</f>
        <v>0</v>
      </c>
      <c r="I268" s="34">
        <f>SUM(I269:I270)</f>
        <v>0</v>
      </c>
      <c r="J268" s="34">
        <f>SUM(J269:J270)</f>
        <v>0</v>
      </c>
      <c r="K268" s="26"/>
      <c r="L268" s="34">
        <f>SUM(L269:L270)</f>
        <v>0.0016799999999999999</v>
      </c>
      <c r="AH268" s="26"/>
      <c r="AR268" s="34">
        <f>SUM(AI269:AI270)</f>
        <v>0</v>
      </c>
      <c r="AS268" s="34">
        <f>SUM(AJ269:AJ270)</f>
        <v>0</v>
      </c>
      <c r="AT268" s="34">
        <f>SUM(AK269:AK270)</f>
        <v>0</v>
      </c>
    </row>
    <row r="269" spans="1:61" ht="12.75">
      <c r="A269" s="4" t="s">
        <v>232</v>
      </c>
      <c r="B269" s="4"/>
      <c r="C269" s="4" t="s">
        <v>609</v>
      </c>
      <c r="D269" s="71" t="s">
        <v>984</v>
      </c>
      <c r="E269" s="4" t="s">
        <v>1120</v>
      </c>
      <c r="F269" s="17">
        <v>2</v>
      </c>
      <c r="G269" s="148">
        <v>0</v>
      </c>
      <c r="H269" s="17">
        <f>F269*AN269</f>
        <v>0</v>
      </c>
      <c r="I269" s="17">
        <f>F269*AO269</f>
        <v>0</v>
      </c>
      <c r="J269" s="17">
        <f>F269*G269</f>
        <v>0</v>
      </c>
      <c r="K269" s="17">
        <v>0.00056</v>
      </c>
      <c r="L269" s="17">
        <f>F269*K269</f>
        <v>0.00112</v>
      </c>
      <c r="Y269" s="31">
        <f>IF(AP269="5",BI269,0)</f>
        <v>0</v>
      </c>
      <c r="AA269" s="31">
        <f>IF(AP269="1",BG269,0)</f>
        <v>0</v>
      </c>
      <c r="AB269" s="31">
        <f>IF(AP269="1",BH269,0)</f>
        <v>0</v>
      </c>
      <c r="AC269" s="31">
        <f>IF(AP269="7",BG269,0)</f>
        <v>0</v>
      </c>
      <c r="AD269" s="31">
        <f>IF(AP269="7",BH269,0)</f>
        <v>0</v>
      </c>
      <c r="AE269" s="31">
        <f>IF(AP269="2",BG269,0)</f>
        <v>0</v>
      </c>
      <c r="AF269" s="31">
        <f>IF(AP269="2",BH269,0)</f>
        <v>0</v>
      </c>
      <c r="AG269" s="31">
        <f>IF(AP269="0",BI269,0)</f>
        <v>0</v>
      </c>
      <c r="AH269" s="26"/>
      <c r="AI269" s="17">
        <f>IF(AM269=0,J269,0)</f>
        <v>0</v>
      </c>
      <c r="AJ269" s="17">
        <f>IF(AM269=15,J269,0)</f>
        <v>0</v>
      </c>
      <c r="AK269" s="17">
        <f>IF(AM269=21,J269,0)</f>
        <v>0</v>
      </c>
      <c r="AM269" s="31">
        <v>21</v>
      </c>
      <c r="AN269" s="31">
        <f>G269*0.82089552238806</f>
        <v>0</v>
      </c>
      <c r="AO269" s="31">
        <f>G269*(1-0.82089552238806)</f>
        <v>0</v>
      </c>
      <c r="AP269" s="27" t="s">
        <v>13</v>
      </c>
      <c r="AU269" s="31">
        <f>AV269+AW269</f>
        <v>0</v>
      </c>
      <c r="AV269" s="31">
        <f>F269*AN269</f>
        <v>0</v>
      </c>
      <c r="AW269" s="31">
        <f>F269*AO269</f>
        <v>0</v>
      </c>
      <c r="AX269" s="32" t="s">
        <v>1184</v>
      </c>
      <c r="AY269" s="32" t="s">
        <v>1209</v>
      </c>
      <c r="AZ269" s="26" t="s">
        <v>1215</v>
      </c>
      <c r="BB269" s="31">
        <f>AV269+AW269</f>
        <v>0</v>
      </c>
      <c r="BC269" s="31">
        <f>G269/(100-BD269)*100</f>
        <v>0</v>
      </c>
      <c r="BD269" s="31">
        <v>0</v>
      </c>
      <c r="BE269" s="31">
        <f>L269</f>
        <v>0.00112</v>
      </c>
      <c r="BG269" s="17">
        <f>F269*AN269</f>
        <v>0</v>
      </c>
      <c r="BH269" s="17">
        <f>F269*AO269</f>
        <v>0</v>
      </c>
      <c r="BI269" s="17">
        <f>F269*G269</f>
        <v>0</v>
      </c>
    </row>
    <row r="270" spans="1:61" ht="25.5">
      <c r="A270" s="4" t="s">
        <v>233</v>
      </c>
      <c r="B270" s="4"/>
      <c r="C270" s="4" t="s">
        <v>609</v>
      </c>
      <c r="D270" s="71" t="s">
        <v>985</v>
      </c>
      <c r="E270" s="4" t="s">
        <v>1120</v>
      </c>
      <c r="F270" s="17">
        <v>1</v>
      </c>
      <c r="G270" s="148">
        <v>0</v>
      </c>
      <c r="H270" s="17">
        <f>F270*AN270</f>
        <v>0</v>
      </c>
      <c r="I270" s="17">
        <f>F270*AO270</f>
        <v>0</v>
      </c>
      <c r="J270" s="17">
        <f>F270*G270</f>
        <v>0</v>
      </c>
      <c r="K270" s="17">
        <v>0.00056</v>
      </c>
      <c r="L270" s="17">
        <f>F270*K270</f>
        <v>0.00056</v>
      </c>
      <c r="Y270" s="31">
        <f>IF(AP270="5",BI270,0)</f>
        <v>0</v>
      </c>
      <c r="AA270" s="31">
        <f>IF(AP270="1",BG270,0)</f>
        <v>0</v>
      </c>
      <c r="AB270" s="31">
        <f>IF(AP270="1",BH270,0)</f>
        <v>0</v>
      </c>
      <c r="AC270" s="31">
        <f>IF(AP270="7",BG270,0)</f>
        <v>0</v>
      </c>
      <c r="AD270" s="31">
        <f>IF(AP270="7",BH270,0)</f>
        <v>0</v>
      </c>
      <c r="AE270" s="31">
        <f>IF(AP270="2",BG270,0)</f>
        <v>0</v>
      </c>
      <c r="AF270" s="31">
        <f>IF(AP270="2",BH270,0)</f>
        <v>0</v>
      </c>
      <c r="AG270" s="31">
        <f>IF(AP270="0",BI270,0)</f>
        <v>0</v>
      </c>
      <c r="AH270" s="26"/>
      <c r="AI270" s="17">
        <f>IF(AM270=0,J270,0)</f>
        <v>0</v>
      </c>
      <c r="AJ270" s="17">
        <f>IF(AM270=15,J270,0)</f>
        <v>0</v>
      </c>
      <c r="AK270" s="17">
        <f>IF(AM270=21,J270,0)</f>
        <v>0</v>
      </c>
      <c r="AM270" s="31">
        <v>21</v>
      </c>
      <c r="AN270" s="31">
        <f>G270*0.785714285714286</f>
        <v>0</v>
      </c>
      <c r="AO270" s="31">
        <f>G270*(1-0.785714285714286)</f>
        <v>0</v>
      </c>
      <c r="AP270" s="27" t="s">
        <v>13</v>
      </c>
      <c r="AU270" s="31">
        <f>AV270+AW270</f>
        <v>0</v>
      </c>
      <c r="AV270" s="31">
        <f>F270*AN270</f>
        <v>0</v>
      </c>
      <c r="AW270" s="31">
        <f>F270*AO270</f>
        <v>0</v>
      </c>
      <c r="AX270" s="32" t="s">
        <v>1184</v>
      </c>
      <c r="AY270" s="32" t="s">
        <v>1209</v>
      </c>
      <c r="AZ270" s="26" t="s">
        <v>1215</v>
      </c>
      <c r="BB270" s="31">
        <f>AV270+AW270</f>
        <v>0</v>
      </c>
      <c r="BC270" s="31">
        <f>G270/(100-BD270)*100</f>
        <v>0</v>
      </c>
      <c r="BD270" s="31">
        <v>0</v>
      </c>
      <c r="BE270" s="31">
        <f>L270</f>
        <v>0.00056</v>
      </c>
      <c r="BG270" s="17">
        <f>F270*AN270</f>
        <v>0</v>
      </c>
      <c r="BH270" s="17">
        <f>F270*AO270</f>
        <v>0</v>
      </c>
      <c r="BI270" s="17">
        <f>F270*G270</f>
        <v>0</v>
      </c>
    </row>
    <row r="271" spans="1:46" ht="12.75">
      <c r="A271" s="6"/>
      <c r="B271" s="13"/>
      <c r="C271" s="13" t="s">
        <v>610</v>
      </c>
      <c r="D271" s="73" t="s">
        <v>986</v>
      </c>
      <c r="E271" s="6" t="s">
        <v>6</v>
      </c>
      <c r="F271" s="6" t="s">
        <v>6</v>
      </c>
      <c r="G271" s="151" t="s">
        <v>6</v>
      </c>
      <c r="H271" s="34">
        <f>SUM(H272:H291)</f>
        <v>0</v>
      </c>
      <c r="I271" s="34">
        <f>SUM(I272:I291)</f>
        <v>0</v>
      </c>
      <c r="J271" s="34">
        <f>SUM(J272:J291)</f>
        <v>0</v>
      </c>
      <c r="K271" s="26"/>
      <c r="L271" s="34">
        <f>SUM(L272:L291)</f>
        <v>7.518519999999999</v>
      </c>
      <c r="AH271" s="26"/>
      <c r="AR271" s="34">
        <f>SUM(AI272:AI291)</f>
        <v>0</v>
      </c>
      <c r="AS271" s="34">
        <f>SUM(AJ272:AJ291)</f>
        <v>0</v>
      </c>
      <c r="AT271" s="34">
        <f>SUM(AK272:AK291)</f>
        <v>0</v>
      </c>
    </row>
    <row r="272" spans="1:61" ht="12.75">
      <c r="A272" s="4" t="s">
        <v>234</v>
      </c>
      <c r="B272" s="4"/>
      <c r="C272" s="4" t="s">
        <v>611</v>
      </c>
      <c r="D272" s="71" t="s">
        <v>987</v>
      </c>
      <c r="E272" s="4" t="s">
        <v>1121</v>
      </c>
      <c r="F272" s="17">
        <v>1</v>
      </c>
      <c r="G272" s="148">
        <v>0</v>
      </c>
      <c r="H272" s="17">
        <f aca="true" t="shared" si="364" ref="H272:H291">F272*AN272</f>
        <v>0</v>
      </c>
      <c r="I272" s="17">
        <f aca="true" t="shared" si="365" ref="I272:I291">F272*AO272</f>
        <v>0</v>
      </c>
      <c r="J272" s="17">
        <f aca="true" t="shared" si="366" ref="J272:J291">F272*G272</f>
        <v>0</v>
      </c>
      <c r="K272" s="17">
        <v>0</v>
      </c>
      <c r="L272" s="17">
        <f aca="true" t="shared" si="367" ref="L272:L291">F272*K272</f>
        <v>0</v>
      </c>
      <c r="Y272" s="31">
        <f aca="true" t="shared" si="368" ref="Y272:Y291">IF(AP272="5",BI272,0)</f>
        <v>0</v>
      </c>
      <c r="AA272" s="31">
        <f aca="true" t="shared" si="369" ref="AA272:AA291">IF(AP272="1",BG272,0)</f>
        <v>0</v>
      </c>
      <c r="AB272" s="31">
        <f aca="true" t="shared" si="370" ref="AB272:AB291">IF(AP272="1",BH272,0)</f>
        <v>0</v>
      </c>
      <c r="AC272" s="31">
        <f aca="true" t="shared" si="371" ref="AC272:AC291">IF(AP272="7",BG272,0)</f>
        <v>0</v>
      </c>
      <c r="AD272" s="31">
        <f aca="true" t="shared" si="372" ref="AD272:AD291">IF(AP272="7",BH272,0)</f>
        <v>0</v>
      </c>
      <c r="AE272" s="31">
        <f aca="true" t="shared" si="373" ref="AE272:AE291">IF(AP272="2",BG272,0)</f>
        <v>0</v>
      </c>
      <c r="AF272" s="31">
        <f aca="true" t="shared" si="374" ref="AF272:AF291">IF(AP272="2",BH272,0)</f>
        <v>0</v>
      </c>
      <c r="AG272" s="31">
        <f aca="true" t="shared" si="375" ref="AG272:AG291">IF(AP272="0",BI272,0)</f>
        <v>0</v>
      </c>
      <c r="AH272" s="26"/>
      <c r="AI272" s="17">
        <f aca="true" t="shared" si="376" ref="AI272:AI291">IF(AM272=0,J272,0)</f>
        <v>0</v>
      </c>
      <c r="AJ272" s="17">
        <f aca="true" t="shared" si="377" ref="AJ272:AJ291">IF(AM272=15,J272,0)</f>
        <v>0</v>
      </c>
      <c r="AK272" s="17">
        <f aca="true" t="shared" si="378" ref="AK272:AK291">IF(AM272=21,J272,0)</f>
        <v>0</v>
      </c>
      <c r="AM272" s="31">
        <v>21</v>
      </c>
      <c r="AN272" s="31">
        <f>G272*0.628778718258767</f>
        <v>0</v>
      </c>
      <c r="AO272" s="31">
        <f>G272*(1-0.628778718258767)</f>
        <v>0</v>
      </c>
      <c r="AP272" s="27" t="s">
        <v>13</v>
      </c>
      <c r="AU272" s="31">
        <f aca="true" t="shared" si="379" ref="AU272:AU291">AV272+AW272</f>
        <v>0</v>
      </c>
      <c r="AV272" s="31">
        <f aca="true" t="shared" si="380" ref="AV272:AV291">F272*AN272</f>
        <v>0</v>
      </c>
      <c r="AW272" s="31">
        <f aca="true" t="shared" si="381" ref="AW272:AW291">F272*AO272</f>
        <v>0</v>
      </c>
      <c r="AX272" s="32" t="s">
        <v>1185</v>
      </c>
      <c r="AY272" s="32" t="s">
        <v>1210</v>
      </c>
      <c r="AZ272" s="26" t="s">
        <v>1215</v>
      </c>
      <c r="BB272" s="31">
        <f aca="true" t="shared" si="382" ref="BB272:BB291">AV272+AW272</f>
        <v>0</v>
      </c>
      <c r="BC272" s="31">
        <f aca="true" t="shared" si="383" ref="BC272:BC291">G272/(100-BD272)*100</f>
        <v>0</v>
      </c>
      <c r="BD272" s="31">
        <v>0</v>
      </c>
      <c r="BE272" s="31">
        <f aca="true" t="shared" si="384" ref="BE272:BE291">L272</f>
        <v>0</v>
      </c>
      <c r="BG272" s="17">
        <f aca="true" t="shared" si="385" ref="BG272:BG291">F272*AN272</f>
        <v>0</v>
      </c>
      <c r="BH272" s="17">
        <f aca="true" t="shared" si="386" ref="BH272:BH291">F272*AO272</f>
        <v>0</v>
      </c>
      <c r="BI272" s="17">
        <f aca="true" t="shared" si="387" ref="BI272:BI291">F272*G272</f>
        <v>0</v>
      </c>
    </row>
    <row r="273" spans="1:61" ht="12.75">
      <c r="A273" s="4" t="s">
        <v>235</v>
      </c>
      <c r="B273" s="4"/>
      <c r="C273" s="4" t="s">
        <v>612</v>
      </c>
      <c r="D273" s="71" t="s">
        <v>988</v>
      </c>
      <c r="E273" s="4" t="s">
        <v>1123</v>
      </c>
      <c r="F273" s="17">
        <v>6</v>
      </c>
      <c r="G273" s="148">
        <v>0</v>
      </c>
      <c r="H273" s="17">
        <f t="shared" si="364"/>
        <v>0</v>
      </c>
      <c r="I273" s="17">
        <f t="shared" si="365"/>
        <v>0</v>
      </c>
      <c r="J273" s="17">
        <f t="shared" si="366"/>
        <v>0</v>
      </c>
      <c r="K273" s="17">
        <v>0</v>
      </c>
      <c r="L273" s="17">
        <f t="shared" si="367"/>
        <v>0</v>
      </c>
      <c r="Y273" s="31">
        <f t="shared" si="368"/>
        <v>0</v>
      </c>
      <c r="AA273" s="31">
        <f t="shared" si="369"/>
        <v>0</v>
      </c>
      <c r="AB273" s="31">
        <f t="shared" si="370"/>
        <v>0</v>
      </c>
      <c r="AC273" s="31">
        <f t="shared" si="371"/>
        <v>0</v>
      </c>
      <c r="AD273" s="31">
        <f t="shared" si="372"/>
        <v>0</v>
      </c>
      <c r="AE273" s="31">
        <f t="shared" si="373"/>
        <v>0</v>
      </c>
      <c r="AF273" s="31">
        <f t="shared" si="374"/>
        <v>0</v>
      </c>
      <c r="AG273" s="31">
        <f t="shared" si="375"/>
        <v>0</v>
      </c>
      <c r="AH273" s="26"/>
      <c r="AI273" s="17">
        <f t="shared" si="376"/>
        <v>0</v>
      </c>
      <c r="AJ273" s="17">
        <f t="shared" si="377"/>
        <v>0</v>
      </c>
      <c r="AK273" s="17">
        <f t="shared" si="378"/>
        <v>0</v>
      </c>
      <c r="AM273" s="31">
        <v>21</v>
      </c>
      <c r="AN273" s="31">
        <f>G273*0.662207357859532</f>
        <v>0</v>
      </c>
      <c r="AO273" s="31">
        <f>G273*(1-0.662207357859532)</f>
        <v>0</v>
      </c>
      <c r="AP273" s="27" t="s">
        <v>13</v>
      </c>
      <c r="AU273" s="31">
        <f t="shared" si="379"/>
        <v>0</v>
      </c>
      <c r="AV273" s="31">
        <f t="shared" si="380"/>
        <v>0</v>
      </c>
      <c r="AW273" s="31">
        <f t="shared" si="381"/>
        <v>0</v>
      </c>
      <c r="AX273" s="32" t="s">
        <v>1185</v>
      </c>
      <c r="AY273" s="32" t="s">
        <v>1210</v>
      </c>
      <c r="AZ273" s="26" t="s">
        <v>1215</v>
      </c>
      <c r="BB273" s="31">
        <f t="shared" si="382"/>
        <v>0</v>
      </c>
      <c r="BC273" s="31">
        <f t="shared" si="383"/>
        <v>0</v>
      </c>
      <c r="BD273" s="31">
        <v>0</v>
      </c>
      <c r="BE273" s="31">
        <f t="shared" si="384"/>
        <v>0</v>
      </c>
      <c r="BG273" s="17">
        <f t="shared" si="385"/>
        <v>0</v>
      </c>
      <c r="BH273" s="17">
        <f t="shared" si="386"/>
        <v>0</v>
      </c>
      <c r="BI273" s="17">
        <f t="shared" si="387"/>
        <v>0</v>
      </c>
    </row>
    <row r="274" spans="1:61" ht="12.75">
      <c r="A274" s="4" t="s">
        <v>236</v>
      </c>
      <c r="B274" s="4"/>
      <c r="C274" s="4" t="s">
        <v>613</v>
      </c>
      <c r="D274" s="71" t="s">
        <v>989</v>
      </c>
      <c r="E274" s="4" t="s">
        <v>1121</v>
      </c>
      <c r="F274" s="17">
        <v>87</v>
      </c>
      <c r="G274" s="148">
        <v>0</v>
      </c>
      <c r="H274" s="17">
        <f t="shared" si="364"/>
        <v>0</v>
      </c>
      <c r="I274" s="17">
        <f t="shared" si="365"/>
        <v>0</v>
      </c>
      <c r="J274" s="17">
        <f t="shared" si="366"/>
        <v>0</v>
      </c>
      <c r="K274" s="17">
        <v>0.00021</v>
      </c>
      <c r="L274" s="17">
        <f t="shared" si="367"/>
        <v>0.01827</v>
      </c>
      <c r="Y274" s="31">
        <f t="shared" si="368"/>
        <v>0</v>
      </c>
      <c r="AA274" s="31">
        <f t="shared" si="369"/>
        <v>0</v>
      </c>
      <c r="AB274" s="31">
        <f t="shared" si="370"/>
        <v>0</v>
      </c>
      <c r="AC274" s="31">
        <f t="shared" si="371"/>
        <v>0</v>
      </c>
      <c r="AD274" s="31">
        <f t="shared" si="372"/>
        <v>0</v>
      </c>
      <c r="AE274" s="31">
        <f t="shared" si="373"/>
        <v>0</v>
      </c>
      <c r="AF274" s="31">
        <f t="shared" si="374"/>
        <v>0</v>
      </c>
      <c r="AG274" s="31">
        <f t="shared" si="375"/>
        <v>0</v>
      </c>
      <c r="AH274" s="26"/>
      <c r="AI274" s="17">
        <f t="shared" si="376"/>
        <v>0</v>
      </c>
      <c r="AJ274" s="17">
        <f t="shared" si="377"/>
        <v>0</v>
      </c>
      <c r="AK274" s="17">
        <f t="shared" si="378"/>
        <v>0</v>
      </c>
      <c r="AM274" s="31">
        <v>21</v>
      </c>
      <c r="AN274" s="31">
        <f>G274*0.571034955448938</f>
        <v>0</v>
      </c>
      <c r="AO274" s="31">
        <f>G274*(1-0.571034955448938)</f>
        <v>0</v>
      </c>
      <c r="AP274" s="27" t="s">
        <v>13</v>
      </c>
      <c r="AU274" s="31">
        <f t="shared" si="379"/>
        <v>0</v>
      </c>
      <c r="AV274" s="31">
        <f t="shared" si="380"/>
        <v>0</v>
      </c>
      <c r="AW274" s="31">
        <f t="shared" si="381"/>
        <v>0</v>
      </c>
      <c r="AX274" s="32" t="s">
        <v>1185</v>
      </c>
      <c r="AY274" s="32" t="s">
        <v>1210</v>
      </c>
      <c r="AZ274" s="26" t="s">
        <v>1215</v>
      </c>
      <c r="BB274" s="31">
        <f t="shared" si="382"/>
        <v>0</v>
      </c>
      <c r="BC274" s="31">
        <f t="shared" si="383"/>
        <v>0</v>
      </c>
      <c r="BD274" s="31">
        <v>0</v>
      </c>
      <c r="BE274" s="31">
        <f t="shared" si="384"/>
        <v>0.01827</v>
      </c>
      <c r="BG274" s="17">
        <f t="shared" si="385"/>
        <v>0</v>
      </c>
      <c r="BH274" s="17">
        <f t="shared" si="386"/>
        <v>0</v>
      </c>
      <c r="BI274" s="17">
        <f t="shared" si="387"/>
        <v>0</v>
      </c>
    </row>
    <row r="275" spans="1:61" ht="12.75">
      <c r="A275" s="4" t="s">
        <v>237</v>
      </c>
      <c r="B275" s="4"/>
      <c r="C275" s="4" t="s">
        <v>614</v>
      </c>
      <c r="D275" s="71" t="s">
        <v>990</v>
      </c>
      <c r="E275" s="4" t="s">
        <v>1121</v>
      </c>
      <c r="F275" s="17">
        <v>87</v>
      </c>
      <c r="G275" s="148">
        <v>0</v>
      </c>
      <c r="H275" s="17">
        <f t="shared" si="364"/>
        <v>0</v>
      </c>
      <c r="I275" s="17">
        <f t="shared" si="365"/>
        <v>0</v>
      </c>
      <c r="J275" s="17">
        <f t="shared" si="366"/>
        <v>0</v>
      </c>
      <c r="K275" s="17">
        <v>0</v>
      </c>
      <c r="L275" s="17">
        <f t="shared" si="367"/>
        <v>0</v>
      </c>
      <c r="Y275" s="31">
        <f t="shared" si="368"/>
        <v>0</v>
      </c>
      <c r="AA275" s="31">
        <f t="shared" si="369"/>
        <v>0</v>
      </c>
      <c r="AB275" s="31">
        <f t="shared" si="370"/>
        <v>0</v>
      </c>
      <c r="AC275" s="31">
        <f t="shared" si="371"/>
        <v>0</v>
      </c>
      <c r="AD275" s="31">
        <f t="shared" si="372"/>
        <v>0</v>
      </c>
      <c r="AE275" s="31">
        <f t="shared" si="373"/>
        <v>0</v>
      </c>
      <c r="AF275" s="31">
        <f t="shared" si="374"/>
        <v>0</v>
      </c>
      <c r="AG275" s="31">
        <f t="shared" si="375"/>
        <v>0</v>
      </c>
      <c r="AH275" s="26"/>
      <c r="AI275" s="17">
        <f t="shared" si="376"/>
        <v>0</v>
      </c>
      <c r="AJ275" s="17">
        <f t="shared" si="377"/>
        <v>0</v>
      </c>
      <c r="AK275" s="17">
        <f t="shared" si="378"/>
        <v>0</v>
      </c>
      <c r="AM275" s="31">
        <v>21</v>
      </c>
      <c r="AN275" s="31">
        <f>G275*0.176354401805869</f>
        <v>0</v>
      </c>
      <c r="AO275" s="31">
        <f>G275*(1-0.176354401805869)</f>
        <v>0</v>
      </c>
      <c r="AP275" s="27" t="s">
        <v>13</v>
      </c>
      <c r="AU275" s="31">
        <f t="shared" si="379"/>
        <v>0</v>
      </c>
      <c r="AV275" s="31">
        <f t="shared" si="380"/>
        <v>0</v>
      </c>
      <c r="AW275" s="31">
        <f t="shared" si="381"/>
        <v>0</v>
      </c>
      <c r="AX275" s="32" t="s">
        <v>1185</v>
      </c>
      <c r="AY275" s="32" t="s">
        <v>1210</v>
      </c>
      <c r="AZ275" s="26" t="s">
        <v>1215</v>
      </c>
      <c r="BB275" s="31">
        <f t="shared" si="382"/>
        <v>0</v>
      </c>
      <c r="BC275" s="31">
        <f t="shared" si="383"/>
        <v>0</v>
      </c>
      <c r="BD275" s="31">
        <v>0</v>
      </c>
      <c r="BE275" s="31">
        <f t="shared" si="384"/>
        <v>0</v>
      </c>
      <c r="BG275" s="17">
        <f t="shared" si="385"/>
        <v>0</v>
      </c>
      <c r="BH275" s="17">
        <f t="shared" si="386"/>
        <v>0</v>
      </c>
      <c r="BI275" s="17">
        <f t="shared" si="387"/>
        <v>0</v>
      </c>
    </row>
    <row r="276" spans="1:61" ht="12.75">
      <c r="A276" s="4" t="s">
        <v>238</v>
      </c>
      <c r="B276" s="4"/>
      <c r="C276" s="4" t="s">
        <v>615</v>
      </c>
      <c r="D276" s="71" t="s">
        <v>991</v>
      </c>
      <c r="E276" s="4" t="s">
        <v>1121</v>
      </c>
      <c r="F276" s="17">
        <v>1</v>
      </c>
      <c r="G276" s="148">
        <v>0</v>
      </c>
      <c r="H276" s="17">
        <f t="shared" si="364"/>
        <v>0</v>
      </c>
      <c r="I276" s="17">
        <f t="shared" si="365"/>
        <v>0</v>
      </c>
      <c r="J276" s="17">
        <f t="shared" si="366"/>
        <v>0</v>
      </c>
      <c r="K276" s="17">
        <v>0</v>
      </c>
      <c r="L276" s="17">
        <f t="shared" si="367"/>
        <v>0</v>
      </c>
      <c r="Y276" s="31">
        <f t="shared" si="368"/>
        <v>0</v>
      </c>
      <c r="AA276" s="31">
        <f t="shared" si="369"/>
        <v>0</v>
      </c>
      <c r="AB276" s="31">
        <f t="shared" si="370"/>
        <v>0</v>
      </c>
      <c r="AC276" s="31">
        <f t="shared" si="371"/>
        <v>0</v>
      </c>
      <c r="AD276" s="31">
        <f t="shared" si="372"/>
        <v>0</v>
      </c>
      <c r="AE276" s="31">
        <f t="shared" si="373"/>
        <v>0</v>
      </c>
      <c r="AF276" s="31">
        <f t="shared" si="374"/>
        <v>0</v>
      </c>
      <c r="AG276" s="31">
        <f t="shared" si="375"/>
        <v>0</v>
      </c>
      <c r="AH276" s="26"/>
      <c r="AI276" s="17">
        <f t="shared" si="376"/>
        <v>0</v>
      </c>
      <c r="AJ276" s="17">
        <f t="shared" si="377"/>
        <v>0</v>
      </c>
      <c r="AK276" s="17">
        <f t="shared" si="378"/>
        <v>0</v>
      </c>
      <c r="AM276" s="31">
        <v>21</v>
      </c>
      <c r="AN276" s="31">
        <f>G276*0</f>
        <v>0</v>
      </c>
      <c r="AO276" s="31">
        <f>G276*(1-0)</f>
        <v>0</v>
      </c>
      <c r="AP276" s="27" t="s">
        <v>13</v>
      </c>
      <c r="AU276" s="31">
        <f t="shared" si="379"/>
        <v>0</v>
      </c>
      <c r="AV276" s="31">
        <f t="shared" si="380"/>
        <v>0</v>
      </c>
      <c r="AW276" s="31">
        <f t="shared" si="381"/>
        <v>0</v>
      </c>
      <c r="AX276" s="32" t="s">
        <v>1185</v>
      </c>
      <c r="AY276" s="32" t="s">
        <v>1210</v>
      </c>
      <c r="AZ276" s="26" t="s">
        <v>1215</v>
      </c>
      <c r="BB276" s="31">
        <f t="shared" si="382"/>
        <v>0</v>
      </c>
      <c r="BC276" s="31">
        <f t="shared" si="383"/>
        <v>0</v>
      </c>
      <c r="BD276" s="31">
        <v>0</v>
      </c>
      <c r="BE276" s="31">
        <f t="shared" si="384"/>
        <v>0</v>
      </c>
      <c r="BG276" s="17">
        <f t="shared" si="385"/>
        <v>0</v>
      </c>
      <c r="BH276" s="17">
        <f t="shared" si="386"/>
        <v>0</v>
      </c>
      <c r="BI276" s="17">
        <f t="shared" si="387"/>
        <v>0</v>
      </c>
    </row>
    <row r="277" spans="1:61" ht="12.75">
      <c r="A277" s="4" t="s">
        <v>239</v>
      </c>
      <c r="B277" s="4"/>
      <c r="C277" s="4" t="s">
        <v>616</v>
      </c>
      <c r="D277" s="71" t="s">
        <v>992</v>
      </c>
      <c r="E277" s="4" t="s">
        <v>1123</v>
      </c>
      <c r="F277" s="17">
        <v>75</v>
      </c>
      <c r="G277" s="148">
        <v>0</v>
      </c>
      <c r="H277" s="17">
        <f t="shared" si="364"/>
        <v>0</v>
      </c>
      <c r="I277" s="17">
        <f t="shared" si="365"/>
        <v>0</v>
      </c>
      <c r="J277" s="17">
        <f t="shared" si="366"/>
        <v>0</v>
      </c>
      <c r="K277" s="17">
        <v>4E-05</v>
      </c>
      <c r="L277" s="17">
        <f t="shared" si="367"/>
        <v>0.003</v>
      </c>
      <c r="Y277" s="31">
        <f t="shared" si="368"/>
        <v>0</v>
      </c>
      <c r="AA277" s="31">
        <f t="shared" si="369"/>
        <v>0</v>
      </c>
      <c r="AB277" s="31">
        <f t="shared" si="370"/>
        <v>0</v>
      </c>
      <c r="AC277" s="31">
        <f t="shared" si="371"/>
        <v>0</v>
      </c>
      <c r="AD277" s="31">
        <f t="shared" si="372"/>
        <v>0</v>
      </c>
      <c r="AE277" s="31">
        <f t="shared" si="373"/>
        <v>0</v>
      </c>
      <c r="AF277" s="31">
        <f t="shared" si="374"/>
        <v>0</v>
      </c>
      <c r="AG277" s="31">
        <f t="shared" si="375"/>
        <v>0</v>
      </c>
      <c r="AH277" s="26"/>
      <c r="AI277" s="17">
        <f t="shared" si="376"/>
        <v>0</v>
      </c>
      <c r="AJ277" s="17">
        <f t="shared" si="377"/>
        <v>0</v>
      </c>
      <c r="AK277" s="17">
        <f t="shared" si="378"/>
        <v>0</v>
      </c>
      <c r="AM277" s="31">
        <v>21</v>
      </c>
      <c r="AN277" s="31">
        <f>G277*0.416107658157603</f>
        <v>0</v>
      </c>
      <c r="AO277" s="31">
        <f>G277*(1-0.416107658157603)</f>
        <v>0</v>
      </c>
      <c r="AP277" s="27" t="s">
        <v>13</v>
      </c>
      <c r="AU277" s="31">
        <f t="shared" si="379"/>
        <v>0</v>
      </c>
      <c r="AV277" s="31">
        <f t="shared" si="380"/>
        <v>0</v>
      </c>
      <c r="AW277" s="31">
        <f t="shared" si="381"/>
        <v>0</v>
      </c>
      <c r="AX277" s="32" t="s">
        <v>1185</v>
      </c>
      <c r="AY277" s="32" t="s">
        <v>1210</v>
      </c>
      <c r="AZ277" s="26" t="s">
        <v>1215</v>
      </c>
      <c r="BB277" s="31">
        <f t="shared" si="382"/>
        <v>0</v>
      </c>
      <c r="BC277" s="31">
        <f t="shared" si="383"/>
        <v>0</v>
      </c>
      <c r="BD277" s="31">
        <v>0</v>
      </c>
      <c r="BE277" s="31">
        <f t="shared" si="384"/>
        <v>0.003</v>
      </c>
      <c r="BG277" s="17">
        <f t="shared" si="385"/>
        <v>0</v>
      </c>
      <c r="BH277" s="17">
        <f t="shared" si="386"/>
        <v>0</v>
      </c>
      <c r="BI277" s="17">
        <f t="shared" si="387"/>
        <v>0</v>
      </c>
    </row>
    <row r="278" spans="1:61" ht="12.75">
      <c r="A278" s="4" t="s">
        <v>240</v>
      </c>
      <c r="B278" s="4"/>
      <c r="C278" s="4" t="s">
        <v>617</v>
      </c>
      <c r="D278" s="71" t="s">
        <v>993</v>
      </c>
      <c r="E278" s="4" t="s">
        <v>1121</v>
      </c>
      <c r="F278" s="17">
        <v>87</v>
      </c>
      <c r="G278" s="148">
        <v>0</v>
      </c>
      <c r="H278" s="17">
        <f t="shared" si="364"/>
        <v>0</v>
      </c>
      <c r="I278" s="17">
        <f t="shared" si="365"/>
        <v>0</v>
      </c>
      <c r="J278" s="17">
        <f t="shared" si="366"/>
        <v>0</v>
      </c>
      <c r="K278" s="17">
        <v>0.0012</v>
      </c>
      <c r="L278" s="17">
        <f t="shared" si="367"/>
        <v>0.10439999999999999</v>
      </c>
      <c r="Y278" s="31">
        <f t="shared" si="368"/>
        <v>0</v>
      </c>
      <c r="AA278" s="31">
        <f t="shared" si="369"/>
        <v>0</v>
      </c>
      <c r="AB278" s="31">
        <f t="shared" si="370"/>
        <v>0</v>
      </c>
      <c r="AC278" s="31">
        <f t="shared" si="371"/>
        <v>0</v>
      </c>
      <c r="AD278" s="31">
        <f t="shared" si="372"/>
        <v>0</v>
      </c>
      <c r="AE278" s="31">
        <f t="shared" si="373"/>
        <v>0</v>
      </c>
      <c r="AF278" s="31">
        <f t="shared" si="374"/>
        <v>0</v>
      </c>
      <c r="AG278" s="31">
        <f t="shared" si="375"/>
        <v>0</v>
      </c>
      <c r="AH278" s="26"/>
      <c r="AI278" s="17">
        <f t="shared" si="376"/>
        <v>0</v>
      </c>
      <c r="AJ278" s="17">
        <f t="shared" si="377"/>
        <v>0</v>
      </c>
      <c r="AK278" s="17">
        <f t="shared" si="378"/>
        <v>0</v>
      </c>
      <c r="AM278" s="31">
        <v>21</v>
      </c>
      <c r="AN278" s="31">
        <f>G278*0.999819657348963</f>
        <v>0</v>
      </c>
      <c r="AO278" s="31">
        <f>G278*(1-0.999819657348963)</f>
        <v>0</v>
      </c>
      <c r="AP278" s="27" t="s">
        <v>13</v>
      </c>
      <c r="AU278" s="31">
        <f t="shared" si="379"/>
        <v>0</v>
      </c>
      <c r="AV278" s="31">
        <f t="shared" si="380"/>
        <v>0</v>
      </c>
      <c r="AW278" s="31">
        <f t="shared" si="381"/>
        <v>0</v>
      </c>
      <c r="AX278" s="32" t="s">
        <v>1185</v>
      </c>
      <c r="AY278" s="32" t="s">
        <v>1210</v>
      </c>
      <c r="AZ278" s="26" t="s">
        <v>1215</v>
      </c>
      <c r="BB278" s="31">
        <f t="shared" si="382"/>
        <v>0</v>
      </c>
      <c r="BC278" s="31">
        <f t="shared" si="383"/>
        <v>0</v>
      </c>
      <c r="BD278" s="31">
        <v>0</v>
      </c>
      <c r="BE278" s="31">
        <f t="shared" si="384"/>
        <v>0.10439999999999999</v>
      </c>
      <c r="BG278" s="17">
        <f t="shared" si="385"/>
        <v>0</v>
      </c>
      <c r="BH278" s="17">
        <f t="shared" si="386"/>
        <v>0</v>
      </c>
      <c r="BI278" s="17">
        <f t="shared" si="387"/>
        <v>0</v>
      </c>
    </row>
    <row r="279" spans="1:61" ht="12.75">
      <c r="A279" s="4" t="s">
        <v>241</v>
      </c>
      <c r="B279" s="4"/>
      <c r="C279" s="4" t="s">
        <v>618</v>
      </c>
      <c r="D279" s="71" t="s">
        <v>994</v>
      </c>
      <c r="E279" s="4" t="s">
        <v>1123</v>
      </c>
      <c r="F279" s="17">
        <v>75</v>
      </c>
      <c r="G279" s="148">
        <v>0</v>
      </c>
      <c r="H279" s="17">
        <f t="shared" si="364"/>
        <v>0</v>
      </c>
      <c r="I279" s="17">
        <f t="shared" si="365"/>
        <v>0</v>
      </c>
      <c r="J279" s="17">
        <f t="shared" si="366"/>
        <v>0</v>
      </c>
      <c r="K279" s="17">
        <v>0.01219</v>
      </c>
      <c r="L279" s="17">
        <f t="shared" si="367"/>
        <v>0.91425</v>
      </c>
      <c r="Y279" s="31">
        <f t="shared" si="368"/>
        <v>0</v>
      </c>
      <c r="AA279" s="31">
        <f t="shared" si="369"/>
        <v>0</v>
      </c>
      <c r="AB279" s="31">
        <f t="shared" si="370"/>
        <v>0</v>
      </c>
      <c r="AC279" s="31">
        <f t="shared" si="371"/>
        <v>0</v>
      </c>
      <c r="AD279" s="31">
        <f t="shared" si="372"/>
        <v>0</v>
      </c>
      <c r="AE279" s="31">
        <f t="shared" si="373"/>
        <v>0</v>
      </c>
      <c r="AF279" s="31">
        <f t="shared" si="374"/>
        <v>0</v>
      </c>
      <c r="AG279" s="31">
        <f t="shared" si="375"/>
        <v>0</v>
      </c>
      <c r="AH279" s="26"/>
      <c r="AI279" s="17">
        <f t="shared" si="376"/>
        <v>0</v>
      </c>
      <c r="AJ279" s="17">
        <f t="shared" si="377"/>
        <v>0</v>
      </c>
      <c r="AK279" s="17">
        <f t="shared" si="378"/>
        <v>0</v>
      </c>
      <c r="AM279" s="31">
        <v>21</v>
      </c>
      <c r="AN279" s="31">
        <f>G279*0.0569832402234637</f>
        <v>0</v>
      </c>
      <c r="AO279" s="31">
        <f>G279*(1-0.0569832402234637)</f>
        <v>0</v>
      </c>
      <c r="AP279" s="27" t="s">
        <v>13</v>
      </c>
      <c r="AU279" s="31">
        <f t="shared" si="379"/>
        <v>0</v>
      </c>
      <c r="AV279" s="31">
        <f t="shared" si="380"/>
        <v>0</v>
      </c>
      <c r="AW279" s="31">
        <f t="shared" si="381"/>
        <v>0</v>
      </c>
      <c r="AX279" s="32" t="s">
        <v>1185</v>
      </c>
      <c r="AY279" s="32" t="s">
        <v>1210</v>
      </c>
      <c r="AZ279" s="26" t="s">
        <v>1215</v>
      </c>
      <c r="BB279" s="31">
        <f t="shared" si="382"/>
        <v>0</v>
      </c>
      <c r="BC279" s="31">
        <f t="shared" si="383"/>
        <v>0</v>
      </c>
      <c r="BD279" s="31">
        <v>0</v>
      </c>
      <c r="BE279" s="31">
        <f t="shared" si="384"/>
        <v>0.91425</v>
      </c>
      <c r="BG279" s="17">
        <f t="shared" si="385"/>
        <v>0</v>
      </c>
      <c r="BH279" s="17">
        <f t="shared" si="386"/>
        <v>0</v>
      </c>
      <c r="BI279" s="17">
        <f t="shared" si="387"/>
        <v>0</v>
      </c>
    </row>
    <row r="280" spans="1:61" ht="12.75">
      <c r="A280" s="5" t="s">
        <v>242</v>
      </c>
      <c r="B280" s="5"/>
      <c r="C280" s="5" t="s">
        <v>619</v>
      </c>
      <c r="D280" s="72" t="s">
        <v>995</v>
      </c>
      <c r="E280" s="5" t="s">
        <v>1121</v>
      </c>
      <c r="F280" s="18">
        <v>95.7</v>
      </c>
      <c r="G280" s="149">
        <v>0</v>
      </c>
      <c r="H280" s="18">
        <f t="shared" si="364"/>
        <v>0</v>
      </c>
      <c r="I280" s="18">
        <f t="shared" si="365"/>
        <v>0</v>
      </c>
      <c r="J280" s="18">
        <f t="shared" si="366"/>
        <v>0</v>
      </c>
      <c r="K280" s="18">
        <v>0.0192</v>
      </c>
      <c r="L280" s="18">
        <f t="shared" si="367"/>
        <v>1.83744</v>
      </c>
      <c r="Y280" s="31">
        <f t="shared" si="368"/>
        <v>0</v>
      </c>
      <c r="AA280" s="31">
        <f t="shared" si="369"/>
        <v>0</v>
      </c>
      <c r="AB280" s="31">
        <f t="shared" si="370"/>
        <v>0</v>
      </c>
      <c r="AC280" s="31">
        <f t="shared" si="371"/>
        <v>0</v>
      </c>
      <c r="AD280" s="31">
        <f t="shared" si="372"/>
        <v>0</v>
      </c>
      <c r="AE280" s="31">
        <f t="shared" si="373"/>
        <v>0</v>
      </c>
      <c r="AF280" s="31">
        <f t="shared" si="374"/>
        <v>0</v>
      </c>
      <c r="AG280" s="31">
        <f t="shared" si="375"/>
        <v>0</v>
      </c>
      <c r="AH280" s="26"/>
      <c r="AI280" s="18">
        <f t="shared" si="376"/>
        <v>0</v>
      </c>
      <c r="AJ280" s="18">
        <f t="shared" si="377"/>
        <v>0</v>
      </c>
      <c r="AK280" s="18">
        <f t="shared" si="378"/>
        <v>0</v>
      </c>
      <c r="AM280" s="31">
        <v>21</v>
      </c>
      <c r="AN280" s="31">
        <f>G280*1</f>
        <v>0</v>
      </c>
      <c r="AO280" s="31">
        <f>G280*(1-1)</f>
        <v>0</v>
      </c>
      <c r="AP280" s="28" t="s">
        <v>13</v>
      </c>
      <c r="AU280" s="31">
        <f t="shared" si="379"/>
        <v>0</v>
      </c>
      <c r="AV280" s="31">
        <f t="shared" si="380"/>
        <v>0</v>
      </c>
      <c r="AW280" s="31">
        <f t="shared" si="381"/>
        <v>0</v>
      </c>
      <c r="AX280" s="32" t="s">
        <v>1185</v>
      </c>
      <c r="AY280" s="32" t="s">
        <v>1210</v>
      </c>
      <c r="AZ280" s="26" t="s">
        <v>1215</v>
      </c>
      <c r="BB280" s="31">
        <f t="shared" si="382"/>
        <v>0</v>
      </c>
      <c r="BC280" s="31">
        <f t="shared" si="383"/>
        <v>0</v>
      </c>
      <c r="BD280" s="31">
        <v>0</v>
      </c>
      <c r="BE280" s="31">
        <f t="shared" si="384"/>
        <v>1.83744</v>
      </c>
      <c r="BG280" s="18">
        <f t="shared" si="385"/>
        <v>0</v>
      </c>
      <c r="BH280" s="18">
        <f t="shared" si="386"/>
        <v>0</v>
      </c>
      <c r="BI280" s="18">
        <f t="shared" si="387"/>
        <v>0</v>
      </c>
    </row>
    <row r="281" spans="1:61" ht="12.75">
      <c r="A281" s="4" t="s">
        <v>243</v>
      </c>
      <c r="B281" s="4"/>
      <c r="C281" s="4" t="s">
        <v>611</v>
      </c>
      <c r="D281" s="71" t="s">
        <v>987</v>
      </c>
      <c r="E281" s="4" t="s">
        <v>1121</v>
      </c>
      <c r="F281" s="17">
        <v>10</v>
      </c>
      <c r="G281" s="148">
        <v>0</v>
      </c>
      <c r="H281" s="17">
        <f t="shared" si="364"/>
        <v>0</v>
      </c>
      <c r="I281" s="17">
        <f t="shared" si="365"/>
        <v>0</v>
      </c>
      <c r="J281" s="17">
        <f t="shared" si="366"/>
        <v>0</v>
      </c>
      <c r="K281" s="17">
        <v>0</v>
      </c>
      <c r="L281" s="17">
        <f t="shared" si="367"/>
        <v>0</v>
      </c>
      <c r="Y281" s="31">
        <f t="shared" si="368"/>
        <v>0</v>
      </c>
      <c r="AA281" s="31">
        <f t="shared" si="369"/>
        <v>0</v>
      </c>
      <c r="AB281" s="31">
        <f t="shared" si="370"/>
        <v>0</v>
      </c>
      <c r="AC281" s="31">
        <f t="shared" si="371"/>
        <v>0</v>
      </c>
      <c r="AD281" s="31">
        <f t="shared" si="372"/>
        <v>0</v>
      </c>
      <c r="AE281" s="31">
        <f t="shared" si="373"/>
        <v>0</v>
      </c>
      <c r="AF281" s="31">
        <f t="shared" si="374"/>
        <v>0</v>
      </c>
      <c r="AG281" s="31">
        <f t="shared" si="375"/>
        <v>0</v>
      </c>
      <c r="AH281" s="26"/>
      <c r="AI281" s="17">
        <f t="shared" si="376"/>
        <v>0</v>
      </c>
      <c r="AJ281" s="17">
        <f t="shared" si="377"/>
        <v>0</v>
      </c>
      <c r="AK281" s="17">
        <f t="shared" si="378"/>
        <v>0</v>
      </c>
      <c r="AM281" s="31">
        <v>21</v>
      </c>
      <c r="AN281" s="31">
        <f>G281*0.628778718258767</f>
        <v>0</v>
      </c>
      <c r="AO281" s="31">
        <f>G281*(1-0.628778718258767)</f>
        <v>0</v>
      </c>
      <c r="AP281" s="27" t="s">
        <v>13</v>
      </c>
      <c r="AU281" s="31">
        <f t="shared" si="379"/>
        <v>0</v>
      </c>
      <c r="AV281" s="31">
        <f t="shared" si="380"/>
        <v>0</v>
      </c>
      <c r="AW281" s="31">
        <f t="shared" si="381"/>
        <v>0</v>
      </c>
      <c r="AX281" s="32" t="s">
        <v>1185</v>
      </c>
      <c r="AY281" s="32" t="s">
        <v>1210</v>
      </c>
      <c r="AZ281" s="26" t="s">
        <v>1215</v>
      </c>
      <c r="BB281" s="31">
        <f t="shared" si="382"/>
        <v>0</v>
      </c>
      <c r="BC281" s="31">
        <f t="shared" si="383"/>
        <v>0</v>
      </c>
      <c r="BD281" s="31">
        <v>0</v>
      </c>
      <c r="BE281" s="31">
        <f t="shared" si="384"/>
        <v>0</v>
      </c>
      <c r="BG281" s="17">
        <f t="shared" si="385"/>
        <v>0</v>
      </c>
      <c r="BH281" s="17">
        <f t="shared" si="386"/>
        <v>0</v>
      </c>
      <c r="BI281" s="17">
        <f t="shared" si="387"/>
        <v>0</v>
      </c>
    </row>
    <row r="282" spans="1:61" ht="12.75">
      <c r="A282" s="4" t="s">
        <v>244</v>
      </c>
      <c r="B282" s="4"/>
      <c r="C282" s="4" t="s">
        <v>612</v>
      </c>
      <c r="D282" s="71" t="s">
        <v>988</v>
      </c>
      <c r="E282" s="4" t="s">
        <v>1123</v>
      </c>
      <c r="F282" s="17">
        <v>13</v>
      </c>
      <c r="G282" s="148">
        <v>0</v>
      </c>
      <c r="H282" s="17">
        <f t="shared" si="364"/>
        <v>0</v>
      </c>
      <c r="I282" s="17">
        <f t="shared" si="365"/>
        <v>0</v>
      </c>
      <c r="J282" s="17">
        <f t="shared" si="366"/>
        <v>0</v>
      </c>
      <c r="K282" s="17">
        <v>0</v>
      </c>
      <c r="L282" s="17">
        <f t="shared" si="367"/>
        <v>0</v>
      </c>
      <c r="Y282" s="31">
        <f t="shared" si="368"/>
        <v>0</v>
      </c>
      <c r="AA282" s="31">
        <f t="shared" si="369"/>
        <v>0</v>
      </c>
      <c r="AB282" s="31">
        <f t="shared" si="370"/>
        <v>0</v>
      </c>
      <c r="AC282" s="31">
        <f t="shared" si="371"/>
        <v>0</v>
      </c>
      <c r="AD282" s="31">
        <f t="shared" si="372"/>
        <v>0</v>
      </c>
      <c r="AE282" s="31">
        <f t="shared" si="373"/>
        <v>0</v>
      </c>
      <c r="AF282" s="31">
        <f t="shared" si="374"/>
        <v>0</v>
      </c>
      <c r="AG282" s="31">
        <f t="shared" si="375"/>
        <v>0</v>
      </c>
      <c r="AH282" s="26"/>
      <c r="AI282" s="17">
        <f t="shared" si="376"/>
        <v>0</v>
      </c>
      <c r="AJ282" s="17">
        <f t="shared" si="377"/>
        <v>0</v>
      </c>
      <c r="AK282" s="17">
        <f t="shared" si="378"/>
        <v>0</v>
      </c>
      <c r="AM282" s="31">
        <v>21</v>
      </c>
      <c r="AN282" s="31">
        <f>G282*0.662207357859532</f>
        <v>0</v>
      </c>
      <c r="AO282" s="31">
        <f>G282*(1-0.662207357859532)</f>
        <v>0</v>
      </c>
      <c r="AP282" s="27" t="s">
        <v>13</v>
      </c>
      <c r="AU282" s="31">
        <f t="shared" si="379"/>
        <v>0</v>
      </c>
      <c r="AV282" s="31">
        <f t="shared" si="380"/>
        <v>0</v>
      </c>
      <c r="AW282" s="31">
        <f t="shared" si="381"/>
        <v>0</v>
      </c>
      <c r="AX282" s="32" t="s">
        <v>1185</v>
      </c>
      <c r="AY282" s="32" t="s">
        <v>1210</v>
      </c>
      <c r="AZ282" s="26" t="s">
        <v>1215</v>
      </c>
      <c r="BB282" s="31">
        <f t="shared" si="382"/>
        <v>0</v>
      </c>
      <c r="BC282" s="31">
        <f t="shared" si="383"/>
        <v>0</v>
      </c>
      <c r="BD282" s="31">
        <v>0</v>
      </c>
      <c r="BE282" s="31">
        <f t="shared" si="384"/>
        <v>0</v>
      </c>
      <c r="BG282" s="17">
        <f t="shared" si="385"/>
        <v>0</v>
      </c>
      <c r="BH282" s="17">
        <f t="shared" si="386"/>
        <v>0</v>
      </c>
      <c r="BI282" s="17">
        <f t="shared" si="387"/>
        <v>0</v>
      </c>
    </row>
    <row r="283" spans="1:61" ht="12.75">
      <c r="A283" s="4" t="s">
        <v>245</v>
      </c>
      <c r="B283" s="4"/>
      <c r="C283" s="4" t="s">
        <v>613</v>
      </c>
      <c r="D283" s="71" t="s">
        <v>989</v>
      </c>
      <c r="E283" s="4" t="s">
        <v>1121</v>
      </c>
      <c r="F283" s="17">
        <v>149</v>
      </c>
      <c r="G283" s="148">
        <v>0</v>
      </c>
      <c r="H283" s="17">
        <f t="shared" si="364"/>
        <v>0</v>
      </c>
      <c r="I283" s="17">
        <f t="shared" si="365"/>
        <v>0</v>
      </c>
      <c r="J283" s="17">
        <f t="shared" si="366"/>
        <v>0</v>
      </c>
      <c r="K283" s="17">
        <v>0.00021</v>
      </c>
      <c r="L283" s="17">
        <f t="shared" si="367"/>
        <v>0.03129</v>
      </c>
      <c r="Y283" s="31">
        <f t="shared" si="368"/>
        <v>0</v>
      </c>
      <c r="AA283" s="31">
        <f t="shared" si="369"/>
        <v>0</v>
      </c>
      <c r="AB283" s="31">
        <f t="shared" si="370"/>
        <v>0</v>
      </c>
      <c r="AC283" s="31">
        <f t="shared" si="371"/>
        <v>0</v>
      </c>
      <c r="AD283" s="31">
        <f t="shared" si="372"/>
        <v>0</v>
      </c>
      <c r="AE283" s="31">
        <f t="shared" si="373"/>
        <v>0</v>
      </c>
      <c r="AF283" s="31">
        <f t="shared" si="374"/>
        <v>0</v>
      </c>
      <c r="AG283" s="31">
        <f t="shared" si="375"/>
        <v>0</v>
      </c>
      <c r="AH283" s="26"/>
      <c r="AI283" s="17">
        <f t="shared" si="376"/>
        <v>0</v>
      </c>
      <c r="AJ283" s="17">
        <f t="shared" si="377"/>
        <v>0</v>
      </c>
      <c r="AK283" s="17">
        <f t="shared" si="378"/>
        <v>0</v>
      </c>
      <c r="AM283" s="31">
        <v>21</v>
      </c>
      <c r="AN283" s="31">
        <f>G283*0.571034955448938</f>
        <v>0</v>
      </c>
      <c r="AO283" s="31">
        <f>G283*(1-0.571034955448938)</f>
        <v>0</v>
      </c>
      <c r="AP283" s="27" t="s">
        <v>13</v>
      </c>
      <c r="AU283" s="31">
        <f t="shared" si="379"/>
        <v>0</v>
      </c>
      <c r="AV283" s="31">
        <f t="shared" si="380"/>
        <v>0</v>
      </c>
      <c r="AW283" s="31">
        <f t="shared" si="381"/>
        <v>0</v>
      </c>
      <c r="AX283" s="32" t="s">
        <v>1185</v>
      </c>
      <c r="AY283" s="32" t="s">
        <v>1210</v>
      </c>
      <c r="AZ283" s="26" t="s">
        <v>1215</v>
      </c>
      <c r="BB283" s="31">
        <f t="shared" si="382"/>
        <v>0</v>
      </c>
      <c r="BC283" s="31">
        <f t="shared" si="383"/>
        <v>0</v>
      </c>
      <c r="BD283" s="31">
        <v>0</v>
      </c>
      <c r="BE283" s="31">
        <f t="shared" si="384"/>
        <v>0.03129</v>
      </c>
      <c r="BG283" s="17">
        <f t="shared" si="385"/>
        <v>0</v>
      </c>
      <c r="BH283" s="17">
        <f t="shared" si="386"/>
        <v>0</v>
      </c>
      <c r="BI283" s="17">
        <f t="shared" si="387"/>
        <v>0</v>
      </c>
    </row>
    <row r="284" spans="1:61" ht="12.75">
      <c r="A284" s="4" t="s">
        <v>246</v>
      </c>
      <c r="B284" s="4"/>
      <c r="C284" s="4" t="s">
        <v>614</v>
      </c>
      <c r="D284" s="71" t="s">
        <v>990</v>
      </c>
      <c r="E284" s="4" t="s">
        <v>1121</v>
      </c>
      <c r="F284" s="17">
        <v>149</v>
      </c>
      <c r="G284" s="148">
        <v>0</v>
      </c>
      <c r="H284" s="17">
        <f t="shared" si="364"/>
        <v>0</v>
      </c>
      <c r="I284" s="17">
        <f t="shared" si="365"/>
        <v>0</v>
      </c>
      <c r="J284" s="17">
        <f t="shared" si="366"/>
        <v>0</v>
      </c>
      <c r="K284" s="17">
        <v>0</v>
      </c>
      <c r="L284" s="17">
        <f t="shared" si="367"/>
        <v>0</v>
      </c>
      <c r="Y284" s="31">
        <f t="shared" si="368"/>
        <v>0</v>
      </c>
      <c r="AA284" s="31">
        <f t="shared" si="369"/>
        <v>0</v>
      </c>
      <c r="AB284" s="31">
        <f t="shared" si="370"/>
        <v>0</v>
      </c>
      <c r="AC284" s="31">
        <f t="shared" si="371"/>
        <v>0</v>
      </c>
      <c r="AD284" s="31">
        <f t="shared" si="372"/>
        <v>0</v>
      </c>
      <c r="AE284" s="31">
        <f t="shared" si="373"/>
        <v>0</v>
      </c>
      <c r="AF284" s="31">
        <f t="shared" si="374"/>
        <v>0</v>
      </c>
      <c r="AG284" s="31">
        <f t="shared" si="375"/>
        <v>0</v>
      </c>
      <c r="AH284" s="26"/>
      <c r="AI284" s="17">
        <f t="shared" si="376"/>
        <v>0</v>
      </c>
      <c r="AJ284" s="17">
        <f t="shared" si="377"/>
        <v>0</v>
      </c>
      <c r="AK284" s="17">
        <f t="shared" si="378"/>
        <v>0</v>
      </c>
      <c r="AM284" s="31">
        <v>21</v>
      </c>
      <c r="AN284" s="31">
        <f>G284*0.176354401805869</f>
        <v>0</v>
      </c>
      <c r="AO284" s="31">
        <f>G284*(1-0.176354401805869)</f>
        <v>0</v>
      </c>
      <c r="AP284" s="27" t="s">
        <v>13</v>
      </c>
      <c r="AU284" s="31">
        <f t="shared" si="379"/>
        <v>0</v>
      </c>
      <c r="AV284" s="31">
        <f t="shared" si="380"/>
        <v>0</v>
      </c>
      <c r="AW284" s="31">
        <f t="shared" si="381"/>
        <v>0</v>
      </c>
      <c r="AX284" s="32" t="s">
        <v>1185</v>
      </c>
      <c r="AY284" s="32" t="s">
        <v>1210</v>
      </c>
      <c r="AZ284" s="26" t="s">
        <v>1215</v>
      </c>
      <c r="BB284" s="31">
        <f t="shared" si="382"/>
        <v>0</v>
      </c>
      <c r="BC284" s="31">
        <f t="shared" si="383"/>
        <v>0</v>
      </c>
      <c r="BD284" s="31">
        <v>0</v>
      </c>
      <c r="BE284" s="31">
        <f t="shared" si="384"/>
        <v>0</v>
      </c>
      <c r="BG284" s="17">
        <f t="shared" si="385"/>
        <v>0</v>
      </c>
      <c r="BH284" s="17">
        <f t="shared" si="386"/>
        <v>0</v>
      </c>
      <c r="BI284" s="17">
        <f t="shared" si="387"/>
        <v>0</v>
      </c>
    </row>
    <row r="285" spans="1:61" ht="12.75">
      <c r="A285" s="4" t="s">
        <v>247</v>
      </c>
      <c r="B285" s="4"/>
      <c r="C285" s="4" t="s">
        <v>615</v>
      </c>
      <c r="D285" s="71" t="s">
        <v>991</v>
      </c>
      <c r="E285" s="4" t="s">
        <v>1121</v>
      </c>
      <c r="F285" s="17">
        <v>50</v>
      </c>
      <c r="G285" s="148">
        <v>0</v>
      </c>
      <c r="H285" s="17">
        <f t="shared" si="364"/>
        <v>0</v>
      </c>
      <c r="I285" s="17">
        <f t="shared" si="365"/>
        <v>0</v>
      </c>
      <c r="J285" s="17">
        <f t="shared" si="366"/>
        <v>0</v>
      </c>
      <c r="K285" s="17">
        <v>0</v>
      </c>
      <c r="L285" s="17">
        <f t="shared" si="367"/>
        <v>0</v>
      </c>
      <c r="Y285" s="31">
        <f t="shared" si="368"/>
        <v>0</v>
      </c>
      <c r="AA285" s="31">
        <f t="shared" si="369"/>
        <v>0</v>
      </c>
      <c r="AB285" s="31">
        <f t="shared" si="370"/>
        <v>0</v>
      </c>
      <c r="AC285" s="31">
        <f t="shared" si="371"/>
        <v>0</v>
      </c>
      <c r="AD285" s="31">
        <f t="shared" si="372"/>
        <v>0</v>
      </c>
      <c r="AE285" s="31">
        <f t="shared" si="373"/>
        <v>0</v>
      </c>
      <c r="AF285" s="31">
        <f t="shared" si="374"/>
        <v>0</v>
      </c>
      <c r="AG285" s="31">
        <f t="shared" si="375"/>
        <v>0</v>
      </c>
      <c r="AH285" s="26"/>
      <c r="AI285" s="17">
        <f t="shared" si="376"/>
        <v>0</v>
      </c>
      <c r="AJ285" s="17">
        <f t="shared" si="377"/>
        <v>0</v>
      </c>
      <c r="AK285" s="17">
        <f t="shared" si="378"/>
        <v>0</v>
      </c>
      <c r="AM285" s="31">
        <v>21</v>
      </c>
      <c r="AN285" s="31">
        <f>G285*0</f>
        <v>0</v>
      </c>
      <c r="AO285" s="31">
        <f>G285*(1-0)</f>
        <v>0</v>
      </c>
      <c r="AP285" s="27" t="s">
        <v>13</v>
      </c>
      <c r="AU285" s="31">
        <f t="shared" si="379"/>
        <v>0</v>
      </c>
      <c r="AV285" s="31">
        <f t="shared" si="380"/>
        <v>0</v>
      </c>
      <c r="AW285" s="31">
        <f t="shared" si="381"/>
        <v>0</v>
      </c>
      <c r="AX285" s="32" t="s">
        <v>1185</v>
      </c>
      <c r="AY285" s="32" t="s">
        <v>1210</v>
      </c>
      <c r="AZ285" s="26" t="s">
        <v>1215</v>
      </c>
      <c r="BB285" s="31">
        <f t="shared" si="382"/>
        <v>0</v>
      </c>
      <c r="BC285" s="31">
        <f t="shared" si="383"/>
        <v>0</v>
      </c>
      <c r="BD285" s="31">
        <v>0</v>
      </c>
      <c r="BE285" s="31">
        <f t="shared" si="384"/>
        <v>0</v>
      </c>
      <c r="BG285" s="17">
        <f t="shared" si="385"/>
        <v>0</v>
      </c>
      <c r="BH285" s="17">
        <f t="shared" si="386"/>
        <v>0</v>
      </c>
      <c r="BI285" s="17">
        <f t="shared" si="387"/>
        <v>0</v>
      </c>
    </row>
    <row r="286" spans="1:61" ht="12.75">
      <c r="A286" s="4" t="s">
        <v>248</v>
      </c>
      <c r="B286" s="4"/>
      <c r="C286" s="4" t="s">
        <v>616</v>
      </c>
      <c r="D286" s="71" t="s">
        <v>992</v>
      </c>
      <c r="E286" s="4" t="s">
        <v>1123</v>
      </c>
      <c r="F286" s="17">
        <v>106</v>
      </c>
      <c r="G286" s="148">
        <v>0</v>
      </c>
      <c r="H286" s="17">
        <f t="shared" si="364"/>
        <v>0</v>
      </c>
      <c r="I286" s="17">
        <f t="shared" si="365"/>
        <v>0</v>
      </c>
      <c r="J286" s="17">
        <f t="shared" si="366"/>
        <v>0</v>
      </c>
      <c r="K286" s="17">
        <v>4E-05</v>
      </c>
      <c r="L286" s="17">
        <f t="shared" si="367"/>
        <v>0.004240000000000001</v>
      </c>
      <c r="Y286" s="31">
        <f t="shared" si="368"/>
        <v>0</v>
      </c>
      <c r="AA286" s="31">
        <f t="shared" si="369"/>
        <v>0</v>
      </c>
      <c r="AB286" s="31">
        <f t="shared" si="370"/>
        <v>0</v>
      </c>
      <c r="AC286" s="31">
        <f t="shared" si="371"/>
        <v>0</v>
      </c>
      <c r="AD286" s="31">
        <f t="shared" si="372"/>
        <v>0</v>
      </c>
      <c r="AE286" s="31">
        <f t="shared" si="373"/>
        <v>0</v>
      </c>
      <c r="AF286" s="31">
        <f t="shared" si="374"/>
        <v>0</v>
      </c>
      <c r="AG286" s="31">
        <f t="shared" si="375"/>
        <v>0</v>
      </c>
      <c r="AH286" s="26"/>
      <c r="AI286" s="17">
        <f t="shared" si="376"/>
        <v>0</v>
      </c>
      <c r="AJ286" s="17">
        <f t="shared" si="377"/>
        <v>0</v>
      </c>
      <c r="AK286" s="17">
        <f t="shared" si="378"/>
        <v>0</v>
      </c>
      <c r="AM286" s="31">
        <v>21</v>
      </c>
      <c r="AN286" s="31">
        <f>G286*0.416107658157603</f>
        <v>0</v>
      </c>
      <c r="AO286" s="31">
        <f>G286*(1-0.416107658157603)</f>
        <v>0</v>
      </c>
      <c r="AP286" s="27" t="s">
        <v>13</v>
      </c>
      <c r="AU286" s="31">
        <f t="shared" si="379"/>
        <v>0</v>
      </c>
      <c r="AV286" s="31">
        <f t="shared" si="380"/>
        <v>0</v>
      </c>
      <c r="AW286" s="31">
        <f t="shared" si="381"/>
        <v>0</v>
      </c>
      <c r="AX286" s="32" t="s">
        <v>1185</v>
      </c>
      <c r="AY286" s="32" t="s">
        <v>1210</v>
      </c>
      <c r="AZ286" s="26" t="s">
        <v>1215</v>
      </c>
      <c r="BB286" s="31">
        <f t="shared" si="382"/>
        <v>0</v>
      </c>
      <c r="BC286" s="31">
        <f t="shared" si="383"/>
        <v>0</v>
      </c>
      <c r="BD286" s="31">
        <v>0</v>
      </c>
      <c r="BE286" s="31">
        <f t="shared" si="384"/>
        <v>0.004240000000000001</v>
      </c>
      <c r="BG286" s="17">
        <f t="shared" si="385"/>
        <v>0</v>
      </c>
      <c r="BH286" s="17">
        <f t="shared" si="386"/>
        <v>0</v>
      </c>
      <c r="BI286" s="17">
        <f t="shared" si="387"/>
        <v>0</v>
      </c>
    </row>
    <row r="287" spans="1:61" ht="12.75">
      <c r="A287" s="4" t="s">
        <v>249</v>
      </c>
      <c r="B287" s="4"/>
      <c r="C287" s="4" t="s">
        <v>617</v>
      </c>
      <c r="D287" s="71" t="s">
        <v>993</v>
      </c>
      <c r="E287" s="4" t="s">
        <v>1121</v>
      </c>
      <c r="F287" s="17">
        <v>149</v>
      </c>
      <c r="G287" s="148">
        <v>0</v>
      </c>
      <c r="H287" s="17">
        <f t="shared" si="364"/>
        <v>0</v>
      </c>
      <c r="I287" s="17">
        <f t="shared" si="365"/>
        <v>0</v>
      </c>
      <c r="J287" s="17">
        <f t="shared" si="366"/>
        <v>0</v>
      </c>
      <c r="K287" s="17">
        <v>0.0012</v>
      </c>
      <c r="L287" s="17">
        <f t="shared" si="367"/>
        <v>0.1788</v>
      </c>
      <c r="Y287" s="31">
        <f t="shared" si="368"/>
        <v>0</v>
      </c>
      <c r="AA287" s="31">
        <f t="shared" si="369"/>
        <v>0</v>
      </c>
      <c r="AB287" s="31">
        <f t="shared" si="370"/>
        <v>0</v>
      </c>
      <c r="AC287" s="31">
        <f t="shared" si="371"/>
        <v>0</v>
      </c>
      <c r="AD287" s="31">
        <f t="shared" si="372"/>
        <v>0</v>
      </c>
      <c r="AE287" s="31">
        <f t="shared" si="373"/>
        <v>0</v>
      </c>
      <c r="AF287" s="31">
        <f t="shared" si="374"/>
        <v>0</v>
      </c>
      <c r="AG287" s="31">
        <f t="shared" si="375"/>
        <v>0</v>
      </c>
      <c r="AH287" s="26"/>
      <c r="AI287" s="17">
        <f t="shared" si="376"/>
        <v>0</v>
      </c>
      <c r="AJ287" s="17">
        <f t="shared" si="377"/>
        <v>0</v>
      </c>
      <c r="AK287" s="17">
        <f t="shared" si="378"/>
        <v>0</v>
      </c>
      <c r="AM287" s="31">
        <v>21</v>
      </c>
      <c r="AN287" s="31">
        <f>G287*0.999819657348963</f>
        <v>0</v>
      </c>
      <c r="AO287" s="31">
        <f>G287*(1-0.999819657348963)</f>
        <v>0</v>
      </c>
      <c r="AP287" s="27" t="s">
        <v>13</v>
      </c>
      <c r="AU287" s="31">
        <f t="shared" si="379"/>
        <v>0</v>
      </c>
      <c r="AV287" s="31">
        <f t="shared" si="380"/>
        <v>0</v>
      </c>
      <c r="AW287" s="31">
        <f t="shared" si="381"/>
        <v>0</v>
      </c>
      <c r="AX287" s="32" t="s">
        <v>1185</v>
      </c>
      <c r="AY287" s="32" t="s">
        <v>1210</v>
      </c>
      <c r="AZ287" s="26" t="s">
        <v>1215</v>
      </c>
      <c r="BB287" s="31">
        <f t="shared" si="382"/>
        <v>0</v>
      </c>
      <c r="BC287" s="31">
        <f t="shared" si="383"/>
        <v>0</v>
      </c>
      <c r="BD287" s="31">
        <v>0</v>
      </c>
      <c r="BE287" s="31">
        <f t="shared" si="384"/>
        <v>0.1788</v>
      </c>
      <c r="BG287" s="17">
        <f t="shared" si="385"/>
        <v>0</v>
      </c>
      <c r="BH287" s="17">
        <f t="shared" si="386"/>
        <v>0</v>
      </c>
      <c r="BI287" s="17">
        <f t="shared" si="387"/>
        <v>0</v>
      </c>
    </row>
    <row r="288" spans="1:61" ht="12.75">
      <c r="A288" s="4" t="s">
        <v>250</v>
      </c>
      <c r="B288" s="4"/>
      <c r="C288" s="4" t="s">
        <v>618</v>
      </c>
      <c r="D288" s="71" t="s">
        <v>994</v>
      </c>
      <c r="E288" s="4" t="s">
        <v>1123</v>
      </c>
      <c r="F288" s="17">
        <v>105</v>
      </c>
      <c r="G288" s="148">
        <v>0</v>
      </c>
      <c r="H288" s="17">
        <f t="shared" si="364"/>
        <v>0</v>
      </c>
      <c r="I288" s="17">
        <f t="shared" si="365"/>
        <v>0</v>
      </c>
      <c r="J288" s="17">
        <f t="shared" si="366"/>
        <v>0</v>
      </c>
      <c r="K288" s="17">
        <v>0.01219</v>
      </c>
      <c r="L288" s="17">
        <f t="shared" si="367"/>
        <v>1.27995</v>
      </c>
      <c r="Y288" s="31">
        <f t="shared" si="368"/>
        <v>0</v>
      </c>
      <c r="AA288" s="31">
        <f t="shared" si="369"/>
        <v>0</v>
      </c>
      <c r="AB288" s="31">
        <f t="shared" si="370"/>
        <v>0</v>
      </c>
      <c r="AC288" s="31">
        <f t="shared" si="371"/>
        <v>0</v>
      </c>
      <c r="AD288" s="31">
        <f t="shared" si="372"/>
        <v>0</v>
      </c>
      <c r="AE288" s="31">
        <f t="shared" si="373"/>
        <v>0</v>
      </c>
      <c r="AF288" s="31">
        <f t="shared" si="374"/>
        <v>0</v>
      </c>
      <c r="AG288" s="31">
        <f t="shared" si="375"/>
        <v>0</v>
      </c>
      <c r="AH288" s="26"/>
      <c r="AI288" s="17">
        <f t="shared" si="376"/>
        <v>0</v>
      </c>
      <c r="AJ288" s="17">
        <f t="shared" si="377"/>
        <v>0</v>
      </c>
      <c r="AK288" s="17">
        <f t="shared" si="378"/>
        <v>0</v>
      </c>
      <c r="AM288" s="31">
        <v>21</v>
      </c>
      <c r="AN288" s="31">
        <f>G288*0.0569832402234637</f>
        <v>0</v>
      </c>
      <c r="AO288" s="31">
        <f>G288*(1-0.0569832402234637)</f>
        <v>0</v>
      </c>
      <c r="AP288" s="27" t="s">
        <v>13</v>
      </c>
      <c r="AU288" s="31">
        <f t="shared" si="379"/>
        <v>0</v>
      </c>
      <c r="AV288" s="31">
        <f t="shared" si="380"/>
        <v>0</v>
      </c>
      <c r="AW288" s="31">
        <f t="shared" si="381"/>
        <v>0</v>
      </c>
      <c r="AX288" s="32" t="s">
        <v>1185</v>
      </c>
      <c r="AY288" s="32" t="s">
        <v>1210</v>
      </c>
      <c r="AZ288" s="26" t="s">
        <v>1215</v>
      </c>
      <c r="BB288" s="31">
        <f t="shared" si="382"/>
        <v>0</v>
      </c>
      <c r="BC288" s="31">
        <f t="shared" si="383"/>
        <v>0</v>
      </c>
      <c r="BD288" s="31">
        <v>0</v>
      </c>
      <c r="BE288" s="31">
        <f t="shared" si="384"/>
        <v>1.27995</v>
      </c>
      <c r="BG288" s="17">
        <f t="shared" si="385"/>
        <v>0</v>
      </c>
      <c r="BH288" s="17">
        <f t="shared" si="386"/>
        <v>0</v>
      </c>
      <c r="BI288" s="17">
        <f t="shared" si="387"/>
        <v>0</v>
      </c>
    </row>
    <row r="289" spans="1:61" ht="12.75">
      <c r="A289" s="5" t="s">
        <v>251</v>
      </c>
      <c r="B289" s="5"/>
      <c r="C289" s="5" t="s">
        <v>619</v>
      </c>
      <c r="D289" s="72" t="s">
        <v>995</v>
      </c>
      <c r="E289" s="5" t="s">
        <v>1121</v>
      </c>
      <c r="F289" s="18">
        <v>163.9</v>
      </c>
      <c r="G289" s="149">
        <v>0</v>
      </c>
      <c r="H289" s="18">
        <f t="shared" si="364"/>
        <v>0</v>
      </c>
      <c r="I289" s="18">
        <f t="shared" si="365"/>
        <v>0</v>
      </c>
      <c r="J289" s="18">
        <f t="shared" si="366"/>
        <v>0</v>
      </c>
      <c r="K289" s="18">
        <v>0.0192</v>
      </c>
      <c r="L289" s="18">
        <f t="shared" si="367"/>
        <v>3.14688</v>
      </c>
      <c r="Y289" s="31">
        <f t="shared" si="368"/>
        <v>0</v>
      </c>
      <c r="AA289" s="31">
        <f t="shared" si="369"/>
        <v>0</v>
      </c>
      <c r="AB289" s="31">
        <f t="shared" si="370"/>
        <v>0</v>
      </c>
      <c r="AC289" s="31">
        <f t="shared" si="371"/>
        <v>0</v>
      </c>
      <c r="AD289" s="31">
        <f t="shared" si="372"/>
        <v>0</v>
      </c>
      <c r="AE289" s="31">
        <f t="shared" si="373"/>
        <v>0</v>
      </c>
      <c r="AF289" s="31">
        <f t="shared" si="374"/>
        <v>0</v>
      </c>
      <c r="AG289" s="31">
        <f t="shared" si="375"/>
        <v>0</v>
      </c>
      <c r="AH289" s="26"/>
      <c r="AI289" s="18">
        <f t="shared" si="376"/>
        <v>0</v>
      </c>
      <c r="AJ289" s="18">
        <f t="shared" si="377"/>
        <v>0</v>
      </c>
      <c r="AK289" s="18">
        <f t="shared" si="378"/>
        <v>0</v>
      </c>
      <c r="AM289" s="31">
        <v>21</v>
      </c>
      <c r="AN289" s="31">
        <f>G289*1</f>
        <v>0</v>
      </c>
      <c r="AO289" s="31">
        <f>G289*(1-1)</f>
        <v>0</v>
      </c>
      <c r="AP289" s="28" t="s">
        <v>13</v>
      </c>
      <c r="AU289" s="31">
        <f t="shared" si="379"/>
        <v>0</v>
      </c>
      <c r="AV289" s="31">
        <f t="shared" si="380"/>
        <v>0</v>
      </c>
      <c r="AW289" s="31">
        <f t="shared" si="381"/>
        <v>0</v>
      </c>
      <c r="AX289" s="32" t="s">
        <v>1185</v>
      </c>
      <c r="AY289" s="32" t="s">
        <v>1210</v>
      </c>
      <c r="AZ289" s="26" t="s">
        <v>1215</v>
      </c>
      <c r="BB289" s="31">
        <f t="shared" si="382"/>
        <v>0</v>
      </c>
      <c r="BC289" s="31">
        <f t="shared" si="383"/>
        <v>0</v>
      </c>
      <c r="BD289" s="31">
        <v>0</v>
      </c>
      <c r="BE289" s="31">
        <f t="shared" si="384"/>
        <v>3.14688</v>
      </c>
      <c r="BG289" s="18">
        <f t="shared" si="385"/>
        <v>0</v>
      </c>
      <c r="BH289" s="18">
        <f t="shared" si="386"/>
        <v>0</v>
      </c>
      <c r="BI289" s="18">
        <f t="shared" si="387"/>
        <v>0</v>
      </c>
    </row>
    <row r="290" spans="1:61" ht="12.75">
      <c r="A290" s="4" t="s">
        <v>252</v>
      </c>
      <c r="B290" s="4"/>
      <c r="C290" s="4" t="s">
        <v>620</v>
      </c>
      <c r="D290" s="71" t="s">
        <v>996</v>
      </c>
      <c r="E290" s="4" t="s">
        <v>1121</v>
      </c>
      <c r="F290" s="17">
        <v>138</v>
      </c>
      <c r="G290" s="148">
        <v>0</v>
      </c>
      <c r="H290" s="17">
        <f t="shared" si="364"/>
        <v>0</v>
      </c>
      <c r="I290" s="17">
        <f t="shared" si="365"/>
        <v>0</v>
      </c>
      <c r="J290" s="17">
        <f t="shared" si="366"/>
        <v>0</v>
      </c>
      <c r="K290" s="17">
        <v>0</v>
      </c>
      <c r="L290" s="17">
        <f t="shared" si="367"/>
        <v>0</v>
      </c>
      <c r="Y290" s="31">
        <f t="shared" si="368"/>
        <v>0</v>
      </c>
      <c r="AA290" s="31">
        <f t="shared" si="369"/>
        <v>0</v>
      </c>
      <c r="AB290" s="31">
        <f t="shared" si="370"/>
        <v>0</v>
      </c>
      <c r="AC290" s="31">
        <f t="shared" si="371"/>
        <v>0</v>
      </c>
      <c r="AD290" s="31">
        <f t="shared" si="372"/>
        <v>0</v>
      </c>
      <c r="AE290" s="31">
        <f t="shared" si="373"/>
        <v>0</v>
      </c>
      <c r="AF290" s="31">
        <f t="shared" si="374"/>
        <v>0</v>
      </c>
      <c r="AG290" s="31">
        <f t="shared" si="375"/>
        <v>0</v>
      </c>
      <c r="AH290" s="26"/>
      <c r="AI290" s="17">
        <f t="shared" si="376"/>
        <v>0</v>
      </c>
      <c r="AJ290" s="17">
        <f t="shared" si="377"/>
        <v>0</v>
      </c>
      <c r="AK290" s="17">
        <f t="shared" si="378"/>
        <v>0</v>
      </c>
      <c r="AM290" s="31">
        <v>21</v>
      </c>
      <c r="AN290" s="31">
        <f>G290*0</f>
        <v>0</v>
      </c>
      <c r="AO290" s="31">
        <f>G290*(1-0)</f>
        <v>0</v>
      </c>
      <c r="AP290" s="27" t="s">
        <v>13</v>
      </c>
      <c r="AU290" s="31">
        <f t="shared" si="379"/>
        <v>0</v>
      </c>
      <c r="AV290" s="31">
        <f t="shared" si="380"/>
        <v>0</v>
      </c>
      <c r="AW290" s="31">
        <f t="shared" si="381"/>
        <v>0</v>
      </c>
      <c r="AX290" s="32" t="s">
        <v>1185</v>
      </c>
      <c r="AY290" s="32" t="s">
        <v>1210</v>
      </c>
      <c r="AZ290" s="26" t="s">
        <v>1215</v>
      </c>
      <c r="BB290" s="31">
        <f t="shared" si="382"/>
        <v>0</v>
      </c>
      <c r="BC290" s="31">
        <f t="shared" si="383"/>
        <v>0</v>
      </c>
      <c r="BD290" s="31">
        <v>0</v>
      </c>
      <c r="BE290" s="31">
        <f t="shared" si="384"/>
        <v>0</v>
      </c>
      <c r="BG290" s="17">
        <f t="shared" si="385"/>
        <v>0</v>
      </c>
      <c r="BH290" s="17">
        <f t="shared" si="386"/>
        <v>0</v>
      </c>
      <c r="BI290" s="17">
        <f t="shared" si="387"/>
        <v>0</v>
      </c>
    </row>
    <row r="291" spans="1:61" ht="12.75">
      <c r="A291" s="4" t="s">
        <v>253</v>
      </c>
      <c r="B291" s="4"/>
      <c r="C291" s="4" t="s">
        <v>621</v>
      </c>
      <c r="D291" s="71" t="s">
        <v>997</v>
      </c>
      <c r="E291" s="4" t="s">
        <v>1121</v>
      </c>
      <c r="F291" s="17">
        <v>138</v>
      </c>
      <c r="G291" s="148">
        <v>0</v>
      </c>
      <c r="H291" s="17">
        <f t="shared" si="364"/>
        <v>0</v>
      </c>
      <c r="I291" s="17">
        <f t="shared" si="365"/>
        <v>0</v>
      </c>
      <c r="J291" s="17">
        <f t="shared" si="366"/>
        <v>0</v>
      </c>
      <c r="K291" s="17">
        <v>0</v>
      </c>
      <c r="L291" s="17">
        <f t="shared" si="367"/>
        <v>0</v>
      </c>
      <c r="Y291" s="31">
        <f t="shared" si="368"/>
        <v>0</v>
      </c>
      <c r="AA291" s="31">
        <f t="shared" si="369"/>
        <v>0</v>
      </c>
      <c r="AB291" s="31">
        <f t="shared" si="370"/>
        <v>0</v>
      </c>
      <c r="AC291" s="31">
        <f t="shared" si="371"/>
        <v>0</v>
      </c>
      <c r="AD291" s="31">
        <f t="shared" si="372"/>
        <v>0</v>
      </c>
      <c r="AE291" s="31">
        <f t="shared" si="373"/>
        <v>0</v>
      </c>
      <c r="AF291" s="31">
        <f t="shared" si="374"/>
        <v>0</v>
      </c>
      <c r="AG291" s="31">
        <f t="shared" si="375"/>
        <v>0</v>
      </c>
      <c r="AH291" s="26"/>
      <c r="AI291" s="17">
        <f t="shared" si="376"/>
        <v>0</v>
      </c>
      <c r="AJ291" s="17">
        <f t="shared" si="377"/>
        <v>0</v>
      </c>
      <c r="AK291" s="17">
        <f t="shared" si="378"/>
        <v>0</v>
      </c>
      <c r="AM291" s="31">
        <v>21</v>
      </c>
      <c r="AN291" s="31">
        <f>G291*0</f>
        <v>0</v>
      </c>
      <c r="AO291" s="31">
        <f>G291*(1-0)</f>
        <v>0</v>
      </c>
      <c r="AP291" s="27" t="s">
        <v>13</v>
      </c>
      <c r="AU291" s="31">
        <f t="shared" si="379"/>
        <v>0</v>
      </c>
      <c r="AV291" s="31">
        <f t="shared" si="380"/>
        <v>0</v>
      </c>
      <c r="AW291" s="31">
        <f t="shared" si="381"/>
        <v>0</v>
      </c>
      <c r="AX291" s="32" t="s">
        <v>1185</v>
      </c>
      <c r="AY291" s="32" t="s">
        <v>1210</v>
      </c>
      <c r="AZ291" s="26" t="s">
        <v>1215</v>
      </c>
      <c r="BB291" s="31">
        <f t="shared" si="382"/>
        <v>0</v>
      </c>
      <c r="BC291" s="31">
        <f t="shared" si="383"/>
        <v>0</v>
      </c>
      <c r="BD291" s="31">
        <v>0</v>
      </c>
      <c r="BE291" s="31">
        <f t="shared" si="384"/>
        <v>0</v>
      </c>
      <c r="BG291" s="17">
        <f t="shared" si="385"/>
        <v>0</v>
      </c>
      <c r="BH291" s="17">
        <f t="shared" si="386"/>
        <v>0</v>
      </c>
      <c r="BI291" s="17">
        <f t="shared" si="387"/>
        <v>0</v>
      </c>
    </row>
    <row r="292" spans="1:46" ht="12.75">
      <c r="A292" s="6"/>
      <c r="B292" s="13"/>
      <c r="C292" s="13" t="s">
        <v>622</v>
      </c>
      <c r="D292" s="73" t="s">
        <v>998</v>
      </c>
      <c r="E292" s="6" t="s">
        <v>6</v>
      </c>
      <c r="F292" s="6" t="s">
        <v>6</v>
      </c>
      <c r="G292" s="151" t="s">
        <v>6</v>
      </c>
      <c r="H292" s="34">
        <f>SUM(H293:H308)</f>
        <v>0</v>
      </c>
      <c r="I292" s="34">
        <f>SUM(I293:I308)</f>
        <v>0</v>
      </c>
      <c r="J292" s="34">
        <f>SUM(J293:J308)</f>
        <v>0</v>
      </c>
      <c r="K292" s="26"/>
      <c r="L292" s="34">
        <f>SUM(L293:L308)</f>
        <v>9.441409</v>
      </c>
      <c r="AH292" s="26"/>
      <c r="AR292" s="34">
        <f>SUM(AI293:AI308)</f>
        <v>0</v>
      </c>
      <c r="AS292" s="34">
        <f>SUM(AJ293:AJ308)</f>
        <v>0</v>
      </c>
      <c r="AT292" s="34">
        <f>SUM(AK293:AK308)</f>
        <v>0</v>
      </c>
    </row>
    <row r="293" spans="1:61" ht="12.75">
      <c r="A293" s="4" t="s">
        <v>254</v>
      </c>
      <c r="B293" s="4"/>
      <c r="C293" s="4" t="s">
        <v>623</v>
      </c>
      <c r="D293" s="71" t="s">
        <v>999</v>
      </c>
      <c r="E293" s="4" t="s">
        <v>1121</v>
      </c>
      <c r="F293" s="17">
        <v>26.65</v>
      </c>
      <c r="G293" s="148">
        <v>0</v>
      </c>
      <c r="H293" s="17">
        <f aca="true" t="shared" si="388" ref="H293:H308">F293*AN293</f>
        <v>0</v>
      </c>
      <c r="I293" s="17">
        <f aca="true" t="shared" si="389" ref="I293:I308">F293*AO293</f>
        <v>0</v>
      </c>
      <c r="J293" s="17">
        <f aca="true" t="shared" si="390" ref="J293:J308">F293*G293</f>
        <v>0</v>
      </c>
      <c r="K293" s="17">
        <v>0</v>
      </c>
      <c r="L293" s="17">
        <f aca="true" t="shared" si="391" ref="L293:L308">F293*K293</f>
        <v>0</v>
      </c>
      <c r="Y293" s="31">
        <f aca="true" t="shared" si="392" ref="Y293:Y308">IF(AP293="5",BI293,0)</f>
        <v>0</v>
      </c>
      <c r="AA293" s="31">
        <f aca="true" t="shared" si="393" ref="AA293:AA308">IF(AP293="1",BG293,0)</f>
        <v>0</v>
      </c>
      <c r="AB293" s="31">
        <f aca="true" t="shared" si="394" ref="AB293:AB308">IF(AP293="1",BH293,0)</f>
        <v>0</v>
      </c>
      <c r="AC293" s="31">
        <f aca="true" t="shared" si="395" ref="AC293:AC308">IF(AP293="7",BG293,0)</f>
        <v>0</v>
      </c>
      <c r="AD293" s="31">
        <f aca="true" t="shared" si="396" ref="AD293:AD308">IF(AP293="7",BH293,0)</f>
        <v>0</v>
      </c>
      <c r="AE293" s="31">
        <f aca="true" t="shared" si="397" ref="AE293:AE308">IF(AP293="2",BG293,0)</f>
        <v>0</v>
      </c>
      <c r="AF293" s="31">
        <f aca="true" t="shared" si="398" ref="AF293:AF308">IF(AP293="2",BH293,0)</f>
        <v>0</v>
      </c>
      <c r="AG293" s="31">
        <f aca="true" t="shared" si="399" ref="AG293:AG308">IF(AP293="0",BI293,0)</f>
        <v>0</v>
      </c>
      <c r="AH293" s="26"/>
      <c r="AI293" s="17">
        <f aca="true" t="shared" si="400" ref="AI293:AI308">IF(AM293=0,J293,0)</f>
        <v>0</v>
      </c>
      <c r="AJ293" s="17">
        <f aca="true" t="shared" si="401" ref="AJ293:AJ308">IF(AM293=15,J293,0)</f>
        <v>0</v>
      </c>
      <c r="AK293" s="17">
        <f aca="true" t="shared" si="402" ref="AK293:AK308">IF(AM293=21,J293,0)</f>
        <v>0</v>
      </c>
      <c r="AM293" s="31">
        <v>21</v>
      </c>
      <c r="AN293" s="31">
        <f>G293*0</f>
        <v>0</v>
      </c>
      <c r="AO293" s="31">
        <f>G293*(1-0)</f>
        <v>0</v>
      </c>
      <c r="AP293" s="27" t="s">
        <v>13</v>
      </c>
      <c r="AU293" s="31">
        <f aca="true" t="shared" si="403" ref="AU293:AU308">AV293+AW293</f>
        <v>0</v>
      </c>
      <c r="AV293" s="31">
        <f aca="true" t="shared" si="404" ref="AV293:AV308">F293*AN293</f>
        <v>0</v>
      </c>
      <c r="AW293" s="31">
        <f aca="true" t="shared" si="405" ref="AW293:AW308">F293*AO293</f>
        <v>0</v>
      </c>
      <c r="AX293" s="32" t="s">
        <v>1186</v>
      </c>
      <c r="AY293" s="32" t="s">
        <v>1211</v>
      </c>
      <c r="AZ293" s="26" t="s">
        <v>1215</v>
      </c>
      <c r="BB293" s="31">
        <f aca="true" t="shared" si="406" ref="BB293:BB308">AV293+AW293</f>
        <v>0</v>
      </c>
      <c r="BC293" s="31">
        <f aca="true" t="shared" si="407" ref="BC293:BC308">G293/(100-BD293)*100</f>
        <v>0</v>
      </c>
      <c r="BD293" s="31">
        <v>0</v>
      </c>
      <c r="BE293" s="31">
        <f aca="true" t="shared" si="408" ref="BE293:BE308">L293</f>
        <v>0</v>
      </c>
      <c r="BG293" s="17">
        <f aca="true" t="shared" si="409" ref="BG293:BG308">F293*AN293</f>
        <v>0</v>
      </c>
      <c r="BH293" s="17">
        <f aca="true" t="shared" si="410" ref="BH293:BH308">F293*AO293</f>
        <v>0</v>
      </c>
      <c r="BI293" s="17">
        <f aca="true" t="shared" si="411" ref="BI293:BI308">F293*G293</f>
        <v>0</v>
      </c>
    </row>
    <row r="294" spans="1:61" ht="12.75">
      <c r="A294" s="4" t="s">
        <v>255</v>
      </c>
      <c r="B294" s="4"/>
      <c r="C294" s="4" t="s">
        <v>624</v>
      </c>
      <c r="D294" s="71" t="s">
        <v>1000</v>
      </c>
      <c r="E294" s="4" t="s">
        <v>1121</v>
      </c>
      <c r="F294" s="17">
        <v>26.65</v>
      </c>
      <c r="G294" s="148">
        <v>0</v>
      </c>
      <c r="H294" s="17">
        <f t="shared" si="388"/>
        <v>0</v>
      </c>
      <c r="I294" s="17">
        <f t="shared" si="389"/>
        <v>0</v>
      </c>
      <c r="J294" s="17">
        <f t="shared" si="390"/>
        <v>0</v>
      </c>
      <c r="K294" s="17">
        <v>0.00021</v>
      </c>
      <c r="L294" s="17">
        <f t="shared" si="391"/>
        <v>0.0055965</v>
      </c>
      <c r="Y294" s="31">
        <f t="shared" si="392"/>
        <v>0</v>
      </c>
      <c r="AA294" s="31">
        <f t="shared" si="393"/>
        <v>0</v>
      </c>
      <c r="AB294" s="31">
        <f t="shared" si="394"/>
        <v>0</v>
      </c>
      <c r="AC294" s="31">
        <f t="shared" si="395"/>
        <v>0</v>
      </c>
      <c r="AD294" s="31">
        <f t="shared" si="396"/>
        <v>0</v>
      </c>
      <c r="AE294" s="31">
        <f t="shared" si="397"/>
        <v>0</v>
      </c>
      <c r="AF294" s="31">
        <f t="shared" si="398"/>
        <v>0</v>
      </c>
      <c r="AG294" s="31">
        <f t="shared" si="399"/>
        <v>0</v>
      </c>
      <c r="AH294" s="26"/>
      <c r="AI294" s="17">
        <f t="shared" si="400"/>
        <v>0</v>
      </c>
      <c r="AJ294" s="17">
        <f t="shared" si="401"/>
        <v>0</v>
      </c>
      <c r="AK294" s="17">
        <f t="shared" si="402"/>
        <v>0</v>
      </c>
      <c r="AM294" s="31">
        <v>21</v>
      </c>
      <c r="AN294" s="31">
        <f>G294*0.571008403361345</f>
        <v>0</v>
      </c>
      <c r="AO294" s="31">
        <f>G294*(1-0.571008403361345)</f>
        <v>0</v>
      </c>
      <c r="AP294" s="27" t="s">
        <v>13</v>
      </c>
      <c r="AU294" s="31">
        <f t="shared" si="403"/>
        <v>0</v>
      </c>
      <c r="AV294" s="31">
        <f t="shared" si="404"/>
        <v>0</v>
      </c>
      <c r="AW294" s="31">
        <f t="shared" si="405"/>
        <v>0</v>
      </c>
      <c r="AX294" s="32" t="s">
        <v>1186</v>
      </c>
      <c r="AY294" s="32" t="s">
        <v>1211</v>
      </c>
      <c r="AZ294" s="26" t="s">
        <v>1215</v>
      </c>
      <c r="BB294" s="31">
        <f t="shared" si="406"/>
        <v>0</v>
      </c>
      <c r="BC294" s="31">
        <f t="shared" si="407"/>
        <v>0</v>
      </c>
      <c r="BD294" s="31">
        <v>0</v>
      </c>
      <c r="BE294" s="31">
        <f t="shared" si="408"/>
        <v>0.0055965</v>
      </c>
      <c r="BG294" s="17">
        <f t="shared" si="409"/>
        <v>0</v>
      </c>
      <c r="BH294" s="17">
        <f t="shared" si="410"/>
        <v>0</v>
      </c>
      <c r="BI294" s="17">
        <f t="shared" si="411"/>
        <v>0</v>
      </c>
    </row>
    <row r="295" spans="1:61" ht="12.75">
      <c r="A295" s="4" t="s">
        <v>256</v>
      </c>
      <c r="B295" s="4"/>
      <c r="C295" s="4" t="s">
        <v>625</v>
      </c>
      <c r="D295" s="71" t="s">
        <v>1001</v>
      </c>
      <c r="E295" s="4" t="s">
        <v>1120</v>
      </c>
      <c r="F295" s="17">
        <v>10</v>
      </c>
      <c r="G295" s="148">
        <v>0</v>
      </c>
      <c r="H295" s="17">
        <f t="shared" si="388"/>
        <v>0</v>
      </c>
      <c r="I295" s="17">
        <f t="shared" si="389"/>
        <v>0</v>
      </c>
      <c r="J295" s="17">
        <f t="shared" si="390"/>
        <v>0</v>
      </c>
      <c r="K295" s="17">
        <v>0</v>
      </c>
      <c r="L295" s="17">
        <f t="shared" si="391"/>
        <v>0</v>
      </c>
      <c r="Y295" s="31">
        <f t="shared" si="392"/>
        <v>0</v>
      </c>
      <c r="AA295" s="31">
        <f t="shared" si="393"/>
        <v>0</v>
      </c>
      <c r="AB295" s="31">
        <f t="shared" si="394"/>
        <v>0</v>
      </c>
      <c r="AC295" s="31">
        <f t="shared" si="395"/>
        <v>0</v>
      </c>
      <c r="AD295" s="31">
        <f t="shared" si="396"/>
        <v>0</v>
      </c>
      <c r="AE295" s="31">
        <f t="shared" si="397"/>
        <v>0</v>
      </c>
      <c r="AF295" s="31">
        <f t="shared" si="398"/>
        <v>0</v>
      </c>
      <c r="AG295" s="31">
        <f t="shared" si="399"/>
        <v>0</v>
      </c>
      <c r="AH295" s="26"/>
      <c r="AI295" s="17">
        <f t="shared" si="400"/>
        <v>0</v>
      </c>
      <c r="AJ295" s="17">
        <f t="shared" si="401"/>
        <v>0</v>
      </c>
      <c r="AK295" s="17">
        <f t="shared" si="402"/>
        <v>0</v>
      </c>
      <c r="AM295" s="31">
        <v>21</v>
      </c>
      <c r="AN295" s="31">
        <f>G295*0.0302371541501976</f>
        <v>0</v>
      </c>
      <c r="AO295" s="31">
        <f>G295*(1-0.0302371541501976)</f>
        <v>0</v>
      </c>
      <c r="AP295" s="27" t="s">
        <v>13</v>
      </c>
      <c r="AU295" s="31">
        <f t="shared" si="403"/>
        <v>0</v>
      </c>
      <c r="AV295" s="31">
        <f t="shared" si="404"/>
        <v>0</v>
      </c>
      <c r="AW295" s="31">
        <f t="shared" si="405"/>
        <v>0</v>
      </c>
      <c r="AX295" s="32" t="s">
        <v>1186</v>
      </c>
      <c r="AY295" s="32" t="s">
        <v>1211</v>
      </c>
      <c r="AZ295" s="26" t="s">
        <v>1215</v>
      </c>
      <c r="BB295" s="31">
        <f t="shared" si="406"/>
        <v>0</v>
      </c>
      <c r="BC295" s="31">
        <f t="shared" si="407"/>
        <v>0</v>
      </c>
      <c r="BD295" s="31">
        <v>0</v>
      </c>
      <c r="BE295" s="31">
        <f t="shared" si="408"/>
        <v>0</v>
      </c>
      <c r="BG295" s="17">
        <f t="shared" si="409"/>
        <v>0</v>
      </c>
      <c r="BH295" s="17">
        <f t="shared" si="410"/>
        <v>0</v>
      </c>
      <c r="BI295" s="17">
        <f t="shared" si="411"/>
        <v>0</v>
      </c>
    </row>
    <row r="296" spans="1:61" ht="12.75">
      <c r="A296" s="4" t="s">
        <v>257</v>
      </c>
      <c r="B296" s="4"/>
      <c r="C296" s="4" t="s">
        <v>626</v>
      </c>
      <c r="D296" s="71" t="s">
        <v>1002</v>
      </c>
      <c r="E296" s="4" t="s">
        <v>1121</v>
      </c>
      <c r="F296" s="17">
        <v>26.65</v>
      </c>
      <c r="G296" s="148">
        <v>0</v>
      </c>
      <c r="H296" s="17">
        <f t="shared" si="388"/>
        <v>0</v>
      </c>
      <c r="I296" s="17">
        <f t="shared" si="389"/>
        <v>0</v>
      </c>
      <c r="J296" s="17">
        <f t="shared" si="390"/>
        <v>0</v>
      </c>
      <c r="K296" s="17">
        <v>0.00011</v>
      </c>
      <c r="L296" s="17">
        <f t="shared" si="391"/>
        <v>0.0029315</v>
      </c>
      <c r="Y296" s="31">
        <f t="shared" si="392"/>
        <v>0</v>
      </c>
      <c r="AA296" s="31">
        <f t="shared" si="393"/>
        <v>0</v>
      </c>
      <c r="AB296" s="31">
        <f t="shared" si="394"/>
        <v>0</v>
      </c>
      <c r="AC296" s="31">
        <f t="shared" si="395"/>
        <v>0</v>
      </c>
      <c r="AD296" s="31">
        <f t="shared" si="396"/>
        <v>0</v>
      </c>
      <c r="AE296" s="31">
        <f t="shared" si="397"/>
        <v>0</v>
      </c>
      <c r="AF296" s="31">
        <f t="shared" si="398"/>
        <v>0</v>
      </c>
      <c r="AG296" s="31">
        <f t="shared" si="399"/>
        <v>0</v>
      </c>
      <c r="AH296" s="26"/>
      <c r="AI296" s="17">
        <f t="shared" si="400"/>
        <v>0</v>
      </c>
      <c r="AJ296" s="17">
        <f t="shared" si="401"/>
        <v>0</v>
      </c>
      <c r="AK296" s="17">
        <f t="shared" si="402"/>
        <v>0</v>
      </c>
      <c r="AM296" s="31">
        <v>21</v>
      </c>
      <c r="AN296" s="31">
        <f>G296*0.999994715034669</f>
        <v>0</v>
      </c>
      <c r="AO296" s="31">
        <f>G296*(1-0.999994715034669)</f>
        <v>0</v>
      </c>
      <c r="AP296" s="27" t="s">
        <v>13</v>
      </c>
      <c r="AU296" s="31">
        <f t="shared" si="403"/>
        <v>0</v>
      </c>
      <c r="AV296" s="31">
        <f t="shared" si="404"/>
        <v>0</v>
      </c>
      <c r="AW296" s="31">
        <f t="shared" si="405"/>
        <v>0</v>
      </c>
      <c r="AX296" s="32" t="s">
        <v>1186</v>
      </c>
      <c r="AY296" s="32" t="s">
        <v>1211</v>
      </c>
      <c r="AZ296" s="26" t="s">
        <v>1215</v>
      </c>
      <c r="BB296" s="31">
        <f t="shared" si="406"/>
        <v>0</v>
      </c>
      <c r="BC296" s="31">
        <f t="shared" si="407"/>
        <v>0</v>
      </c>
      <c r="BD296" s="31">
        <v>0</v>
      </c>
      <c r="BE296" s="31">
        <f t="shared" si="408"/>
        <v>0.0029315</v>
      </c>
      <c r="BG296" s="17">
        <f t="shared" si="409"/>
        <v>0</v>
      </c>
      <c r="BH296" s="17">
        <f t="shared" si="410"/>
        <v>0</v>
      </c>
      <c r="BI296" s="17">
        <f t="shared" si="411"/>
        <v>0</v>
      </c>
    </row>
    <row r="297" spans="1:61" ht="12.75">
      <c r="A297" s="4" t="s">
        <v>258</v>
      </c>
      <c r="B297" s="4"/>
      <c r="C297" s="4" t="s">
        <v>627</v>
      </c>
      <c r="D297" s="71" t="s">
        <v>1003</v>
      </c>
      <c r="E297" s="4" t="s">
        <v>1121</v>
      </c>
      <c r="F297" s="17">
        <v>26.65</v>
      </c>
      <c r="G297" s="148">
        <v>0</v>
      </c>
      <c r="H297" s="17">
        <f t="shared" si="388"/>
        <v>0</v>
      </c>
      <c r="I297" s="17">
        <f t="shared" si="389"/>
        <v>0</v>
      </c>
      <c r="J297" s="17">
        <f t="shared" si="390"/>
        <v>0</v>
      </c>
      <c r="K297" s="17">
        <v>0</v>
      </c>
      <c r="L297" s="17">
        <f t="shared" si="391"/>
        <v>0</v>
      </c>
      <c r="Y297" s="31">
        <f t="shared" si="392"/>
        <v>0</v>
      </c>
      <c r="AA297" s="31">
        <f t="shared" si="393"/>
        <v>0</v>
      </c>
      <c r="AB297" s="31">
        <f t="shared" si="394"/>
        <v>0</v>
      </c>
      <c r="AC297" s="31">
        <f t="shared" si="395"/>
        <v>0</v>
      </c>
      <c r="AD297" s="31">
        <f t="shared" si="396"/>
        <v>0</v>
      </c>
      <c r="AE297" s="31">
        <f t="shared" si="397"/>
        <v>0</v>
      </c>
      <c r="AF297" s="31">
        <f t="shared" si="398"/>
        <v>0</v>
      </c>
      <c r="AG297" s="31">
        <f t="shared" si="399"/>
        <v>0</v>
      </c>
      <c r="AH297" s="26"/>
      <c r="AI297" s="17">
        <f t="shared" si="400"/>
        <v>0</v>
      </c>
      <c r="AJ297" s="17">
        <f t="shared" si="401"/>
        <v>0</v>
      </c>
      <c r="AK297" s="17">
        <f t="shared" si="402"/>
        <v>0</v>
      </c>
      <c r="AM297" s="31">
        <v>21</v>
      </c>
      <c r="AN297" s="31">
        <f>G297*0</f>
        <v>0</v>
      </c>
      <c r="AO297" s="31">
        <f>G297*(1-0)</f>
        <v>0</v>
      </c>
      <c r="AP297" s="27" t="s">
        <v>13</v>
      </c>
      <c r="AU297" s="31">
        <f t="shared" si="403"/>
        <v>0</v>
      </c>
      <c r="AV297" s="31">
        <f t="shared" si="404"/>
        <v>0</v>
      </c>
      <c r="AW297" s="31">
        <f t="shared" si="405"/>
        <v>0</v>
      </c>
      <c r="AX297" s="32" t="s">
        <v>1186</v>
      </c>
      <c r="AY297" s="32" t="s">
        <v>1211</v>
      </c>
      <c r="AZ297" s="26" t="s">
        <v>1215</v>
      </c>
      <c r="BB297" s="31">
        <f t="shared" si="406"/>
        <v>0</v>
      </c>
      <c r="BC297" s="31">
        <f t="shared" si="407"/>
        <v>0</v>
      </c>
      <c r="BD297" s="31">
        <v>0</v>
      </c>
      <c r="BE297" s="31">
        <f t="shared" si="408"/>
        <v>0</v>
      </c>
      <c r="BG297" s="17">
        <f t="shared" si="409"/>
        <v>0</v>
      </c>
      <c r="BH297" s="17">
        <f t="shared" si="410"/>
        <v>0</v>
      </c>
      <c r="BI297" s="17">
        <f t="shared" si="411"/>
        <v>0</v>
      </c>
    </row>
    <row r="298" spans="1:61" ht="12.75">
      <c r="A298" s="4" t="s">
        <v>259</v>
      </c>
      <c r="B298" s="4"/>
      <c r="C298" s="4" t="s">
        <v>628</v>
      </c>
      <c r="D298" s="71" t="s">
        <v>1004</v>
      </c>
      <c r="E298" s="4" t="s">
        <v>1123</v>
      </c>
      <c r="F298" s="17">
        <v>18</v>
      </c>
      <c r="G298" s="148">
        <v>0</v>
      </c>
      <c r="H298" s="17">
        <f t="shared" si="388"/>
        <v>0</v>
      </c>
      <c r="I298" s="17">
        <f t="shared" si="389"/>
        <v>0</v>
      </c>
      <c r="J298" s="17">
        <f t="shared" si="390"/>
        <v>0</v>
      </c>
      <c r="K298" s="17">
        <v>0.00042</v>
      </c>
      <c r="L298" s="17">
        <f t="shared" si="391"/>
        <v>0.007560000000000001</v>
      </c>
      <c r="Y298" s="31">
        <f t="shared" si="392"/>
        <v>0</v>
      </c>
      <c r="AA298" s="31">
        <f t="shared" si="393"/>
        <v>0</v>
      </c>
      <c r="AB298" s="31">
        <f t="shared" si="394"/>
        <v>0</v>
      </c>
      <c r="AC298" s="31">
        <f t="shared" si="395"/>
        <v>0</v>
      </c>
      <c r="AD298" s="31">
        <f t="shared" si="396"/>
        <v>0</v>
      </c>
      <c r="AE298" s="31">
        <f t="shared" si="397"/>
        <v>0</v>
      </c>
      <c r="AF298" s="31">
        <f t="shared" si="398"/>
        <v>0</v>
      </c>
      <c r="AG298" s="31">
        <f t="shared" si="399"/>
        <v>0</v>
      </c>
      <c r="AH298" s="26"/>
      <c r="AI298" s="17">
        <f t="shared" si="400"/>
        <v>0</v>
      </c>
      <c r="AJ298" s="17">
        <f t="shared" si="401"/>
        <v>0</v>
      </c>
      <c r="AK298" s="17">
        <f t="shared" si="402"/>
        <v>0</v>
      </c>
      <c r="AM298" s="31">
        <v>21</v>
      </c>
      <c r="AN298" s="31">
        <f>G298*0.849289684990735</f>
        <v>0</v>
      </c>
      <c r="AO298" s="31">
        <f>G298*(1-0.849289684990735)</f>
        <v>0</v>
      </c>
      <c r="AP298" s="27" t="s">
        <v>13</v>
      </c>
      <c r="AU298" s="31">
        <f t="shared" si="403"/>
        <v>0</v>
      </c>
      <c r="AV298" s="31">
        <f t="shared" si="404"/>
        <v>0</v>
      </c>
      <c r="AW298" s="31">
        <f t="shared" si="405"/>
        <v>0</v>
      </c>
      <c r="AX298" s="32" t="s">
        <v>1186</v>
      </c>
      <c r="AY298" s="32" t="s">
        <v>1211</v>
      </c>
      <c r="AZ298" s="26" t="s">
        <v>1215</v>
      </c>
      <c r="BB298" s="31">
        <f t="shared" si="406"/>
        <v>0</v>
      </c>
      <c r="BC298" s="31">
        <f t="shared" si="407"/>
        <v>0</v>
      </c>
      <c r="BD298" s="31">
        <v>0</v>
      </c>
      <c r="BE298" s="31">
        <f t="shared" si="408"/>
        <v>0.007560000000000001</v>
      </c>
      <c r="BG298" s="17">
        <f t="shared" si="409"/>
        <v>0</v>
      </c>
      <c r="BH298" s="17">
        <f t="shared" si="410"/>
        <v>0</v>
      </c>
      <c r="BI298" s="17">
        <f t="shared" si="411"/>
        <v>0</v>
      </c>
    </row>
    <row r="299" spans="1:61" ht="12.75">
      <c r="A299" s="5" t="s">
        <v>260</v>
      </c>
      <c r="B299" s="5"/>
      <c r="C299" s="5" t="s">
        <v>629</v>
      </c>
      <c r="D299" s="72" t="s">
        <v>1005</v>
      </c>
      <c r="E299" s="5" t="s">
        <v>1121</v>
      </c>
      <c r="F299" s="18">
        <v>29.7</v>
      </c>
      <c r="G299" s="149">
        <v>0</v>
      </c>
      <c r="H299" s="18">
        <f t="shared" si="388"/>
        <v>0</v>
      </c>
      <c r="I299" s="18">
        <f t="shared" si="389"/>
        <v>0</v>
      </c>
      <c r="J299" s="18">
        <f t="shared" si="390"/>
        <v>0</v>
      </c>
      <c r="K299" s="18">
        <v>0.0126</v>
      </c>
      <c r="L299" s="18">
        <f t="shared" si="391"/>
        <v>0.37422</v>
      </c>
      <c r="Y299" s="31">
        <f t="shared" si="392"/>
        <v>0</v>
      </c>
      <c r="AA299" s="31">
        <f t="shared" si="393"/>
        <v>0</v>
      </c>
      <c r="AB299" s="31">
        <f t="shared" si="394"/>
        <v>0</v>
      </c>
      <c r="AC299" s="31">
        <f t="shared" si="395"/>
        <v>0</v>
      </c>
      <c r="AD299" s="31">
        <f t="shared" si="396"/>
        <v>0</v>
      </c>
      <c r="AE299" s="31">
        <f t="shared" si="397"/>
        <v>0</v>
      </c>
      <c r="AF299" s="31">
        <f t="shared" si="398"/>
        <v>0</v>
      </c>
      <c r="AG299" s="31">
        <f t="shared" si="399"/>
        <v>0</v>
      </c>
      <c r="AH299" s="26"/>
      <c r="AI299" s="18">
        <f t="shared" si="400"/>
        <v>0</v>
      </c>
      <c r="AJ299" s="18">
        <f t="shared" si="401"/>
        <v>0</v>
      </c>
      <c r="AK299" s="18">
        <f t="shared" si="402"/>
        <v>0</v>
      </c>
      <c r="AM299" s="31">
        <v>21</v>
      </c>
      <c r="AN299" s="31">
        <f>G299*1</f>
        <v>0</v>
      </c>
      <c r="AO299" s="31">
        <f>G299*(1-1)</f>
        <v>0</v>
      </c>
      <c r="AP299" s="28" t="s">
        <v>13</v>
      </c>
      <c r="AU299" s="31">
        <f t="shared" si="403"/>
        <v>0</v>
      </c>
      <c r="AV299" s="31">
        <f t="shared" si="404"/>
        <v>0</v>
      </c>
      <c r="AW299" s="31">
        <f t="shared" si="405"/>
        <v>0</v>
      </c>
      <c r="AX299" s="32" t="s">
        <v>1186</v>
      </c>
      <c r="AY299" s="32" t="s">
        <v>1211</v>
      </c>
      <c r="AZ299" s="26" t="s">
        <v>1215</v>
      </c>
      <c r="BB299" s="31">
        <f t="shared" si="406"/>
        <v>0</v>
      </c>
      <c r="BC299" s="31">
        <f t="shared" si="407"/>
        <v>0</v>
      </c>
      <c r="BD299" s="31">
        <v>0</v>
      </c>
      <c r="BE299" s="31">
        <f t="shared" si="408"/>
        <v>0.37422</v>
      </c>
      <c r="BG299" s="18">
        <f t="shared" si="409"/>
        <v>0</v>
      </c>
      <c r="BH299" s="18">
        <f t="shared" si="410"/>
        <v>0</v>
      </c>
      <c r="BI299" s="18">
        <f t="shared" si="411"/>
        <v>0</v>
      </c>
    </row>
    <row r="300" spans="1:61" ht="12.75">
      <c r="A300" s="4" t="s">
        <v>261</v>
      </c>
      <c r="B300" s="4"/>
      <c r="C300" s="4" t="s">
        <v>630</v>
      </c>
      <c r="D300" s="71" t="s">
        <v>1006</v>
      </c>
      <c r="E300" s="4" t="s">
        <v>1121</v>
      </c>
      <c r="F300" s="17">
        <v>26.65</v>
      </c>
      <c r="G300" s="148">
        <v>0</v>
      </c>
      <c r="H300" s="17">
        <f t="shared" si="388"/>
        <v>0</v>
      </c>
      <c r="I300" s="17">
        <f t="shared" si="389"/>
        <v>0</v>
      </c>
      <c r="J300" s="17">
        <f t="shared" si="390"/>
        <v>0</v>
      </c>
      <c r="K300" s="17">
        <v>0.04274</v>
      </c>
      <c r="L300" s="17">
        <f t="shared" si="391"/>
        <v>1.1390209999999998</v>
      </c>
      <c r="Y300" s="31">
        <f t="shared" si="392"/>
        <v>0</v>
      </c>
      <c r="AA300" s="31">
        <f t="shared" si="393"/>
        <v>0</v>
      </c>
      <c r="AB300" s="31">
        <f t="shared" si="394"/>
        <v>0</v>
      </c>
      <c r="AC300" s="31">
        <f t="shared" si="395"/>
        <v>0</v>
      </c>
      <c r="AD300" s="31">
        <f t="shared" si="396"/>
        <v>0</v>
      </c>
      <c r="AE300" s="31">
        <f t="shared" si="397"/>
        <v>0</v>
      </c>
      <c r="AF300" s="31">
        <f t="shared" si="398"/>
        <v>0</v>
      </c>
      <c r="AG300" s="31">
        <f t="shared" si="399"/>
        <v>0</v>
      </c>
      <c r="AH300" s="26"/>
      <c r="AI300" s="17">
        <f t="shared" si="400"/>
        <v>0</v>
      </c>
      <c r="AJ300" s="17">
        <f t="shared" si="401"/>
        <v>0</v>
      </c>
      <c r="AK300" s="17">
        <f t="shared" si="402"/>
        <v>0</v>
      </c>
      <c r="AM300" s="31">
        <v>21</v>
      </c>
      <c r="AN300" s="31">
        <f>G300*0.053596256684492</f>
        <v>0</v>
      </c>
      <c r="AO300" s="31">
        <f>G300*(1-0.053596256684492)</f>
        <v>0</v>
      </c>
      <c r="AP300" s="27" t="s">
        <v>13</v>
      </c>
      <c r="AU300" s="31">
        <f t="shared" si="403"/>
        <v>0</v>
      </c>
      <c r="AV300" s="31">
        <f t="shared" si="404"/>
        <v>0</v>
      </c>
      <c r="AW300" s="31">
        <f t="shared" si="405"/>
        <v>0</v>
      </c>
      <c r="AX300" s="32" t="s">
        <v>1186</v>
      </c>
      <c r="AY300" s="32" t="s">
        <v>1211</v>
      </c>
      <c r="AZ300" s="26" t="s">
        <v>1215</v>
      </c>
      <c r="BB300" s="31">
        <f t="shared" si="406"/>
        <v>0</v>
      </c>
      <c r="BC300" s="31">
        <f t="shared" si="407"/>
        <v>0</v>
      </c>
      <c r="BD300" s="31">
        <v>0</v>
      </c>
      <c r="BE300" s="31">
        <f t="shared" si="408"/>
        <v>1.1390209999999998</v>
      </c>
      <c r="BG300" s="17">
        <f t="shared" si="409"/>
        <v>0</v>
      </c>
      <c r="BH300" s="17">
        <f t="shared" si="410"/>
        <v>0</v>
      </c>
      <c r="BI300" s="17">
        <f t="shared" si="411"/>
        <v>0</v>
      </c>
    </row>
    <row r="301" spans="1:61" ht="12.75">
      <c r="A301" s="4" t="s">
        <v>262</v>
      </c>
      <c r="B301" s="4"/>
      <c r="C301" s="4" t="s">
        <v>623</v>
      </c>
      <c r="D301" s="71" t="s">
        <v>999</v>
      </c>
      <c r="E301" s="4" t="s">
        <v>1121</v>
      </c>
      <c r="F301" s="17">
        <v>138</v>
      </c>
      <c r="G301" s="148">
        <v>0</v>
      </c>
      <c r="H301" s="17">
        <f t="shared" si="388"/>
        <v>0</v>
      </c>
      <c r="I301" s="17">
        <f t="shared" si="389"/>
        <v>0</v>
      </c>
      <c r="J301" s="17">
        <f t="shared" si="390"/>
        <v>0</v>
      </c>
      <c r="K301" s="17">
        <v>0</v>
      </c>
      <c r="L301" s="17">
        <f t="shared" si="391"/>
        <v>0</v>
      </c>
      <c r="Y301" s="31">
        <f t="shared" si="392"/>
        <v>0</v>
      </c>
      <c r="AA301" s="31">
        <f t="shared" si="393"/>
        <v>0</v>
      </c>
      <c r="AB301" s="31">
        <f t="shared" si="394"/>
        <v>0</v>
      </c>
      <c r="AC301" s="31">
        <f t="shared" si="395"/>
        <v>0</v>
      </c>
      <c r="AD301" s="31">
        <f t="shared" si="396"/>
        <v>0</v>
      </c>
      <c r="AE301" s="31">
        <f t="shared" si="397"/>
        <v>0</v>
      </c>
      <c r="AF301" s="31">
        <f t="shared" si="398"/>
        <v>0</v>
      </c>
      <c r="AG301" s="31">
        <f t="shared" si="399"/>
        <v>0</v>
      </c>
      <c r="AH301" s="26"/>
      <c r="AI301" s="17">
        <f t="shared" si="400"/>
        <v>0</v>
      </c>
      <c r="AJ301" s="17">
        <f t="shared" si="401"/>
        <v>0</v>
      </c>
      <c r="AK301" s="17">
        <f t="shared" si="402"/>
        <v>0</v>
      </c>
      <c r="AM301" s="31">
        <v>21</v>
      </c>
      <c r="AN301" s="31">
        <f>G301*0</f>
        <v>0</v>
      </c>
      <c r="AO301" s="31">
        <f>G301*(1-0)</f>
        <v>0</v>
      </c>
      <c r="AP301" s="27" t="s">
        <v>13</v>
      </c>
      <c r="AU301" s="31">
        <f t="shared" si="403"/>
        <v>0</v>
      </c>
      <c r="AV301" s="31">
        <f t="shared" si="404"/>
        <v>0</v>
      </c>
      <c r="AW301" s="31">
        <f t="shared" si="405"/>
        <v>0</v>
      </c>
      <c r="AX301" s="32" t="s">
        <v>1186</v>
      </c>
      <c r="AY301" s="32" t="s">
        <v>1211</v>
      </c>
      <c r="AZ301" s="26" t="s">
        <v>1215</v>
      </c>
      <c r="BB301" s="31">
        <f t="shared" si="406"/>
        <v>0</v>
      </c>
      <c r="BC301" s="31">
        <f t="shared" si="407"/>
        <v>0</v>
      </c>
      <c r="BD301" s="31">
        <v>0</v>
      </c>
      <c r="BE301" s="31">
        <f t="shared" si="408"/>
        <v>0</v>
      </c>
      <c r="BG301" s="17">
        <f t="shared" si="409"/>
        <v>0</v>
      </c>
      <c r="BH301" s="17">
        <f t="shared" si="410"/>
        <v>0</v>
      </c>
      <c r="BI301" s="17">
        <f t="shared" si="411"/>
        <v>0</v>
      </c>
    </row>
    <row r="302" spans="1:61" ht="12.75">
      <c r="A302" s="4" t="s">
        <v>263</v>
      </c>
      <c r="B302" s="4"/>
      <c r="C302" s="4" t="s">
        <v>624</v>
      </c>
      <c r="D302" s="71" t="s">
        <v>1000</v>
      </c>
      <c r="E302" s="4" t="s">
        <v>1121</v>
      </c>
      <c r="F302" s="17">
        <v>138</v>
      </c>
      <c r="G302" s="148">
        <v>0</v>
      </c>
      <c r="H302" s="17">
        <f t="shared" si="388"/>
        <v>0</v>
      </c>
      <c r="I302" s="17">
        <f t="shared" si="389"/>
        <v>0</v>
      </c>
      <c r="J302" s="17">
        <f t="shared" si="390"/>
        <v>0</v>
      </c>
      <c r="K302" s="17">
        <v>0.00021</v>
      </c>
      <c r="L302" s="17">
        <f t="shared" si="391"/>
        <v>0.028980000000000002</v>
      </c>
      <c r="Y302" s="31">
        <f t="shared" si="392"/>
        <v>0</v>
      </c>
      <c r="AA302" s="31">
        <f t="shared" si="393"/>
        <v>0</v>
      </c>
      <c r="AB302" s="31">
        <f t="shared" si="394"/>
        <v>0</v>
      </c>
      <c r="AC302" s="31">
        <f t="shared" si="395"/>
        <v>0</v>
      </c>
      <c r="AD302" s="31">
        <f t="shared" si="396"/>
        <v>0</v>
      </c>
      <c r="AE302" s="31">
        <f t="shared" si="397"/>
        <v>0</v>
      </c>
      <c r="AF302" s="31">
        <f t="shared" si="398"/>
        <v>0</v>
      </c>
      <c r="AG302" s="31">
        <f t="shared" si="399"/>
        <v>0</v>
      </c>
      <c r="AH302" s="26"/>
      <c r="AI302" s="17">
        <f t="shared" si="400"/>
        <v>0</v>
      </c>
      <c r="AJ302" s="17">
        <f t="shared" si="401"/>
        <v>0</v>
      </c>
      <c r="AK302" s="17">
        <f t="shared" si="402"/>
        <v>0</v>
      </c>
      <c r="AM302" s="31">
        <v>21</v>
      </c>
      <c r="AN302" s="31">
        <f>G302*0.571008403361345</f>
        <v>0</v>
      </c>
      <c r="AO302" s="31">
        <f>G302*(1-0.571008403361345)</f>
        <v>0</v>
      </c>
      <c r="AP302" s="27" t="s">
        <v>13</v>
      </c>
      <c r="AU302" s="31">
        <f t="shared" si="403"/>
        <v>0</v>
      </c>
      <c r="AV302" s="31">
        <f t="shared" si="404"/>
        <v>0</v>
      </c>
      <c r="AW302" s="31">
        <f t="shared" si="405"/>
        <v>0</v>
      </c>
      <c r="AX302" s="32" t="s">
        <v>1186</v>
      </c>
      <c r="AY302" s="32" t="s">
        <v>1211</v>
      </c>
      <c r="AZ302" s="26" t="s">
        <v>1215</v>
      </c>
      <c r="BB302" s="31">
        <f t="shared" si="406"/>
        <v>0</v>
      </c>
      <c r="BC302" s="31">
        <f t="shared" si="407"/>
        <v>0</v>
      </c>
      <c r="BD302" s="31">
        <v>0</v>
      </c>
      <c r="BE302" s="31">
        <f t="shared" si="408"/>
        <v>0.028980000000000002</v>
      </c>
      <c r="BG302" s="17">
        <f t="shared" si="409"/>
        <v>0</v>
      </c>
      <c r="BH302" s="17">
        <f t="shared" si="410"/>
        <v>0</v>
      </c>
      <c r="BI302" s="17">
        <f t="shared" si="411"/>
        <v>0</v>
      </c>
    </row>
    <row r="303" spans="1:61" ht="12.75">
      <c r="A303" s="4" t="s">
        <v>264</v>
      </c>
      <c r="B303" s="4"/>
      <c r="C303" s="4" t="s">
        <v>625</v>
      </c>
      <c r="D303" s="71" t="s">
        <v>1001</v>
      </c>
      <c r="E303" s="4" t="s">
        <v>1120</v>
      </c>
      <c r="F303" s="17">
        <v>34</v>
      </c>
      <c r="G303" s="148">
        <v>0</v>
      </c>
      <c r="H303" s="17">
        <f t="shared" si="388"/>
        <v>0</v>
      </c>
      <c r="I303" s="17">
        <f t="shared" si="389"/>
        <v>0</v>
      </c>
      <c r="J303" s="17">
        <f t="shared" si="390"/>
        <v>0</v>
      </c>
      <c r="K303" s="17">
        <v>0</v>
      </c>
      <c r="L303" s="17">
        <f t="shared" si="391"/>
        <v>0</v>
      </c>
      <c r="Y303" s="31">
        <f t="shared" si="392"/>
        <v>0</v>
      </c>
      <c r="AA303" s="31">
        <f t="shared" si="393"/>
        <v>0</v>
      </c>
      <c r="AB303" s="31">
        <f t="shared" si="394"/>
        <v>0</v>
      </c>
      <c r="AC303" s="31">
        <f t="shared" si="395"/>
        <v>0</v>
      </c>
      <c r="AD303" s="31">
        <f t="shared" si="396"/>
        <v>0</v>
      </c>
      <c r="AE303" s="31">
        <f t="shared" si="397"/>
        <v>0</v>
      </c>
      <c r="AF303" s="31">
        <f t="shared" si="398"/>
        <v>0</v>
      </c>
      <c r="AG303" s="31">
        <f t="shared" si="399"/>
        <v>0</v>
      </c>
      <c r="AH303" s="26"/>
      <c r="AI303" s="17">
        <f t="shared" si="400"/>
        <v>0</v>
      </c>
      <c r="AJ303" s="17">
        <f t="shared" si="401"/>
        <v>0</v>
      </c>
      <c r="AK303" s="17">
        <f t="shared" si="402"/>
        <v>0</v>
      </c>
      <c r="AM303" s="31">
        <v>21</v>
      </c>
      <c r="AN303" s="31">
        <f>G303*0.0302371541501976</f>
        <v>0</v>
      </c>
      <c r="AO303" s="31">
        <f>G303*(1-0.0302371541501976)</f>
        <v>0</v>
      </c>
      <c r="AP303" s="27" t="s">
        <v>13</v>
      </c>
      <c r="AU303" s="31">
        <f t="shared" si="403"/>
        <v>0</v>
      </c>
      <c r="AV303" s="31">
        <f t="shared" si="404"/>
        <v>0</v>
      </c>
      <c r="AW303" s="31">
        <f t="shared" si="405"/>
        <v>0</v>
      </c>
      <c r="AX303" s="32" t="s">
        <v>1186</v>
      </c>
      <c r="AY303" s="32" t="s">
        <v>1211</v>
      </c>
      <c r="AZ303" s="26" t="s">
        <v>1215</v>
      </c>
      <c r="BB303" s="31">
        <f t="shared" si="406"/>
        <v>0</v>
      </c>
      <c r="BC303" s="31">
        <f t="shared" si="407"/>
        <v>0</v>
      </c>
      <c r="BD303" s="31">
        <v>0</v>
      </c>
      <c r="BE303" s="31">
        <f t="shared" si="408"/>
        <v>0</v>
      </c>
      <c r="BG303" s="17">
        <f t="shared" si="409"/>
        <v>0</v>
      </c>
      <c r="BH303" s="17">
        <f t="shared" si="410"/>
        <v>0</v>
      </c>
      <c r="BI303" s="17">
        <f t="shared" si="411"/>
        <v>0</v>
      </c>
    </row>
    <row r="304" spans="1:61" ht="12.75">
      <c r="A304" s="4" t="s">
        <v>265</v>
      </c>
      <c r="B304" s="4"/>
      <c r="C304" s="4" t="s">
        <v>626</v>
      </c>
      <c r="D304" s="71" t="s">
        <v>1002</v>
      </c>
      <c r="E304" s="4" t="s">
        <v>1121</v>
      </c>
      <c r="F304" s="17">
        <v>138</v>
      </c>
      <c r="G304" s="148">
        <v>0</v>
      </c>
      <c r="H304" s="17">
        <f t="shared" si="388"/>
        <v>0</v>
      </c>
      <c r="I304" s="17">
        <f t="shared" si="389"/>
        <v>0</v>
      </c>
      <c r="J304" s="17">
        <f t="shared" si="390"/>
        <v>0</v>
      </c>
      <c r="K304" s="17">
        <v>0.00011</v>
      </c>
      <c r="L304" s="17">
        <f t="shared" si="391"/>
        <v>0.01518</v>
      </c>
      <c r="Y304" s="31">
        <f t="shared" si="392"/>
        <v>0</v>
      </c>
      <c r="AA304" s="31">
        <f t="shared" si="393"/>
        <v>0</v>
      </c>
      <c r="AB304" s="31">
        <f t="shared" si="394"/>
        <v>0</v>
      </c>
      <c r="AC304" s="31">
        <f t="shared" si="395"/>
        <v>0</v>
      </c>
      <c r="AD304" s="31">
        <f t="shared" si="396"/>
        <v>0</v>
      </c>
      <c r="AE304" s="31">
        <f t="shared" si="397"/>
        <v>0</v>
      </c>
      <c r="AF304" s="31">
        <f t="shared" si="398"/>
        <v>0</v>
      </c>
      <c r="AG304" s="31">
        <f t="shared" si="399"/>
        <v>0</v>
      </c>
      <c r="AH304" s="26"/>
      <c r="AI304" s="17">
        <f t="shared" si="400"/>
        <v>0</v>
      </c>
      <c r="AJ304" s="17">
        <f t="shared" si="401"/>
        <v>0</v>
      </c>
      <c r="AK304" s="17">
        <f t="shared" si="402"/>
        <v>0</v>
      </c>
      <c r="AM304" s="31">
        <v>21</v>
      </c>
      <c r="AN304" s="31">
        <f>G304*1</f>
        <v>0</v>
      </c>
      <c r="AO304" s="31">
        <f>G304*(1-1)</f>
        <v>0</v>
      </c>
      <c r="AP304" s="27" t="s">
        <v>13</v>
      </c>
      <c r="AU304" s="31">
        <f t="shared" si="403"/>
        <v>0</v>
      </c>
      <c r="AV304" s="31">
        <f t="shared" si="404"/>
        <v>0</v>
      </c>
      <c r="AW304" s="31">
        <f t="shared" si="405"/>
        <v>0</v>
      </c>
      <c r="AX304" s="32" t="s">
        <v>1186</v>
      </c>
      <c r="AY304" s="32" t="s">
        <v>1211</v>
      </c>
      <c r="AZ304" s="26" t="s">
        <v>1215</v>
      </c>
      <c r="BB304" s="31">
        <f t="shared" si="406"/>
        <v>0</v>
      </c>
      <c r="BC304" s="31">
        <f t="shared" si="407"/>
        <v>0</v>
      </c>
      <c r="BD304" s="31">
        <v>0</v>
      </c>
      <c r="BE304" s="31">
        <f t="shared" si="408"/>
        <v>0.01518</v>
      </c>
      <c r="BG304" s="17">
        <f t="shared" si="409"/>
        <v>0</v>
      </c>
      <c r="BH304" s="17">
        <f t="shared" si="410"/>
        <v>0</v>
      </c>
      <c r="BI304" s="17">
        <f t="shared" si="411"/>
        <v>0</v>
      </c>
    </row>
    <row r="305" spans="1:61" ht="12.75">
      <c r="A305" s="4" t="s">
        <v>266</v>
      </c>
      <c r="B305" s="4"/>
      <c r="C305" s="4" t="s">
        <v>627</v>
      </c>
      <c r="D305" s="71" t="s">
        <v>1003</v>
      </c>
      <c r="E305" s="4" t="s">
        <v>1121</v>
      </c>
      <c r="F305" s="17">
        <v>138</v>
      </c>
      <c r="G305" s="148">
        <v>0</v>
      </c>
      <c r="H305" s="17">
        <f t="shared" si="388"/>
        <v>0</v>
      </c>
      <c r="I305" s="17">
        <f t="shared" si="389"/>
        <v>0</v>
      </c>
      <c r="J305" s="17">
        <f t="shared" si="390"/>
        <v>0</v>
      </c>
      <c r="K305" s="17">
        <v>0</v>
      </c>
      <c r="L305" s="17">
        <f t="shared" si="391"/>
        <v>0</v>
      </c>
      <c r="Y305" s="31">
        <f t="shared" si="392"/>
        <v>0</v>
      </c>
      <c r="AA305" s="31">
        <f t="shared" si="393"/>
        <v>0</v>
      </c>
      <c r="AB305" s="31">
        <f t="shared" si="394"/>
        <v>0</v>
      </c>
      <c r="AC305" s="31">
        <f t="shared" si="395"/>
        <v>0</v>
      </c>
      <c r="AD305" s="31">
        <f t="shared" si="396"/>
        <v>0</v>
      </c>
      <c r="AE305" s="31">
        <f t="shared" si="397"/>
        <v>0</v>
      </c>
      <c r="AF305" s="31">
        <f t="shared" si="398"/>
        <v>0</v>
      </c>
      <c r="AG305" s="31">
        <f t="shared" si="399"/>
        <v>0</v>
      </c>
      <c r="AH305" s="26"/>
      <c r="AI305" s="17">
        <f t="shared" si="400"/>
        <v>0</v>
      </c>
      <c r="AJ305" s="17">
        <f t="shared" si="401"/>
        <v>0</v>
      </c>
      <c r="AK305" s="17">
        <f t="shared" si="402"/>
        <v>0</v>
      </c>
      <c r="AM305" s="31">
        <v>21</v>
      </c>
      <c r="AN305" s="31">
        <f>G305*0</f>
        <v>0</v>
      </c>
      <c r="AO305" s="31">
        <f>G305*(1-0)</f>
        <v>0</v>
      </c>
      <c r="AP305" s="27" t="s">
        <v>13</v>
      </c>
      <c r="AU305" s="31">
        <f t="shared" si="403"/>
        <v>0</v>
      </c>
      <c r="AV305" s="31">
        <f t="shared" si="404"/>
        <v>0</v>
      </c>
      <c r="AW305" s="31">
        <f t="shared" si="405"/>
        <v>0</v>
      </c>
      <c r="AX305" s="32" t="s">
        <v>1186</v>
      </c>
      <c r="AY305" s="32" t="s">
        <v>1211</v>
      </c>
      <c r="AZ305" s="26" t="s">
        <v>1215</v>
      </c>
      <c r="BB305" s="31">
        <f t="shared" si="406"/>
        <v>0</v>
      </c>
      <c r="BC305" s="31">
        <f t="shared" si="407"/>
        <v>0</v>
      </c>
      <c r="BD305" s="31">
        <v>0</v>
      </c>
      <c r="BE305" s="31">
        <f t="shared" si="408"/>
        <v>0</v>
      </c>
      <c r="BG305" s="17">
        <f t="shared" si="409"/>
        <v>0</v>
      </c>
      <c r="BH305" s="17">
        <f t="shared" si="410"/>
        <v>0</v>
      </c>
      <c r="BI305" s="17">
        <f t="shared" si="411"/>
        <v>0</v>
      </c>
    </row>
    <row r="306" spans="1:61" ht="12.75">
      <c r="A306" s="4" t="s">
        <v>267</v>
      </c>
      <c r="B306" s="4"/>
      <c r="C306" s="4" t="s">
        <v>628</v>
      </c>
      <c r="D306" s="71" t="s">
        <v>1004</v>
      </c>
      <c r="E306" s="4" t="s">
        <v>1123</v>
      </c>
      <c r="F306" s="17">
        <v>136</v>
      </c>
      <c r="G306" s="148">
        <v>0</v>
      </c>
      <c r="H306" s="17">
        <f t="shared" si="388"/>
        <v>0</v>
      </c>
      <c r="I306" s="17">
        <f t="shared" si="389"/>
        <v>0</v>
      </c>
      <c r="J306" s="17">
        <f t="shared" si="390"/>
        <v>0</v>
      </c>
      <c r="K306" s="17">
        <v>0.00042</v>
      </c>
      <c r="L306" s="17">
        <f t="shared" si="391"/>
        <v>0.057120000000000004</v>
      </c>
      <c r="Y306" s="31">
        <f t="shared" si="392"/>
        <v>0</v>
      </c>
      <c r="AA306" s="31">
        <f t="shared" si="393"/>
        <v>0</v>
      </c>
      <c r="AB306" s="31">
        <f t="shared" si="394"/>
        <v>0</v>
      </c>
      <c r="AC306" s="31">
        <f t="shared" si="395"/>
        <v>0</v>
      </c>
      <c r="AD306" s="31">
        <f t="shared" si="396"/>
        <v>0</v>
      </c>
      <c r="AE306" s="31">
        <f t="shared" si="397"/>
        <v>0</v>
      </c>
      <c r="AF306" s="31">
        <f t="shared" si="398"/>
        <v>0</v>
      </c>
      <c r="AG306" s="31">
        <f t="shared" si="399"/>
        <v>0</v>
      </c>
      <c r="AH306" s="26"/>
      <c r="AI306" s="17">
        <f t="shared" si="400"/>
        <v>0</v>
      </c>
      <c r="AJ306" s="17">
        <f t="shared" si="401"/>
        <v>0</v>
      </c>
      <c r="AK306" s="17">
        <f t="shared" si="402"/>
        <v>0</v>
      </c>
      <c r="AM306" s="31">
        <v>21</v>
      </c>
      <c r="AN306" s="31">
        <f>G306*0.849289684990735</f>
        <v>0</v>
      </c>
      <c r="AO306" s="31">
        <f>G306*(1-0.849289684990735)</f>
        <v>0</v>
      </c>
      <c r="AP306" s="27" t="s">
        <v>13</v>
      </c>
      <c r="AU306" s="31">
        <f t="shared" si="403"/>
        <v>0</v>
      </c>
      <c r="AV306" s="31">
        <f t="shared" si="404"/>
        <v>0</v>
      </c>
      <c r="AW306" s="31">
        <f t="shared" si="405"/>
        <v>0</v>
      </c>
      <c r="AX306" s="32" t="s">
        <v>1186</v>
      </c>
      <c r="AY306" s="32" t="s">
        <v>1211</v>
      </c>
      <c r="AZ306" s="26" t="s">
        <v>1215</v>
      </c>
      <c r="BB306" s="31">
        <f t="shared" si="406"/>
        <v>0</v>
      </c>
      <c r="BC306" s="31">
        <f t="shared" si="407"/>
        <v>0</v>
      </c>
      <c r="BD306" s="31">
        <v>0</v>
      </c>
      <c r="BE306" s="31">
        <f t="shared" si="408"/>
        <v>0.057120000000000004</v>
      </c>
      <c r="BG306" s="17">
        <f t="shared" si="409"/>
        <v>0</v>
      </c>
      <c r="BH306" s="17">
        <f t="shared" si="410"/>
        <v>0</v>
      </c>
      <c r="BI306" s="17">
        <f t="shared" si="411"/>
        <v>0</v>
      </c>
    </row>
    <row r="307" spans="1:61" ht="12.75">
      <c r="A307" s="4" t="s">
        <v>268</v>
      </c>
      <c r="B307" s="4"/>
      <c r="C307" s="4" t="s">
        <v>630</v>
      </c>
      <c r="D307" s="71" t="s">
        <v>1006</v>
      </c>
      <c r="E307" s="4" t="s">
        <v>1121</v>
      </c>
      <c r="F307" s="17">
        <v>138</v>
      </c>
      <c r="G307" s="148">
        <v>0</v>
      </c>
      <c r="H307" s="17">
        <f t="shared" si="388"/>
        <v>0</v>
      </c>
      <c r="I307" s="17">
        <f t="shared" si="389"/>
        <v>0</v>
      </c>
      <c r="J307" s="17">
        <f t="shared" si="390"/>
        <v>0</v>
      </c>
      <c r="K307" s="17">
        <v>0.04274</v>
      </c>
      <c r="L307" s="17">
        <f t="shared" si="391"/>
        <v>5.8981200000000005</v>
      </c>
      <c r="Y307" s="31">
        <f t="shared" si="392"/>
        <v>0</v>
      </c>
      <c r="AA307" s="31">
        <f t="shared" si="393"/>
        <v>0</v>
      </c>
      <c r="AB307" s="31">
        <f t="shared" si="394"/>
        <v>0</v>
      </c>
      <c r="AC307" s="31">
        <f t="shared" si="395"/>
        <v>0</v>
      </c>
      <c r="AD307" s="31">
        <f t="shared" si="396"/>
        <v>0</v>
      </c>
      <c r="AE307" s="31">
        <f t="shared" si="397"/>
        <v>0</v>
      </c>
      <c r="AF307" s="31">
        <f t="shared" si="398"/>
        <v>0</v>
      </c>
      <c r="AG307" s="31">
        <f t="shared" si="399"/>
        <v>0</v>
      </c>
      <c r="AH307" s="26"/>
      <c r="AI307" s="17">
        <f t="shared" si="400"/>
        <v>0</v>
      </c>
      <c r="AJ307" s="17">
        <f t="shared" si="401"/>
        <v>0</v>
      </c>
      <c r="AK307" s="17">
        <f t="shared" si="402"/>
        <v>0</v>
      </c>
      <c r="AM307" s="31">
        <v>21</v>
      </c>
      <c r="AN307" s="31">
        <f>G307*0.053596256684492</f>
        <v>0</v>
      </c>
      <c r="AO307" s="31">
        <f>G307*(1-0.053596256684492)</f>
        <v>0</v>
      </c>
      <c r="AP307" s="27" t="s">
        <v>13</v>
      </c>
      <c r="AU307" s="31">
        <f t="shared" si="403"/>
        <v>0</v>
      </c>
      <c r="AV307" s="31">
        <f t="shared" si="404"/>
        <v>0</v>
      </c>
      <c r="AW307" s="31">
        <f t="shared" si="405"/>
        <v>0</v>
      </c>
      <c r="AX307" s="32" t="s">
        <v>1186</v>
      </c>
      <c r="AY307" s="32" t="s">
        <v>1211</v>
      </c>
      <c r="AZ307" s="26" t="s">
        <v>1215</v>
      </c>
      <c r="BB307" s="31">
        <f t="shared" si="406"/>
        <v>0</v>
      </c>
      <c r="BC307" s="31">
        <f t="shared" si="407"/>
        <v>0</v>
      </c>
      <c r="BD307" s="31">
        <v>0</v>
      </c>
      <c r="BE307" s="31">
        <f t="shared" si="408"/>
        <v>5.8981200000000005</v>
      </c>
      <c r="BG307" s="17">
        <f t="shared" si="409"/>
        <v>0</v>
      </c>
      <c r="BH307" s="17">
        <f t="shared" si="410"/>
        <v>0</v>
      </c>
      <c r="BI307" s="17">
        <f t="shared" si="411"/>
        <v>0</v>
      </c>
    </row>
    <row r="308" spans="1:61" ht="12.75">
      <c r="A308" s="5" t="s">
        <v>269</v>
      </c>
      <c r="B308" s="5"/>
      <c r="C308" s="5" t="s">
        <v>629</v>
      </c>
      <c r="D308" s="72" t="s">
        <v>1005</v>
      </c>
      <c r="E308" s="5" t="s">
        <v>1121</v>
      </c>
      <c r="F308" s="18">
        <v>151.8</v>
      </c>
      <c r="G308" s="149">
        <v>0</v>
      </c>
      <c r="H308" s="18">
        <f t="shared" si="388"/>
        <v>0</v>
      </c>
      <c r="I308" s="18">
        <f t="shared" si="389"/>
        <v>0</v>
      </c>
      <c r="J308" s="18">
        <f t="shared" si="390"/>
        <v>0</v>
      </c>
      <c r="K308" s="18">
        <v>0.0126</v>
      </c>
      <c r="L308" s="18">
        <f t="shared" si="391"/>
        <v>1.9126800000000002</v>
      </c>
      <c r="Y308" s="31">
        <f t="shared" si="392"/>
        <v>0</v>
      </c>
      <c r="AA308" s="31">
        <f t="shared" si="393"/>
        <v>0</v>
      </c>
      <c r="AB308" s="31">
        <f t="shared" si="394"/>
        <v>0</v>
      </c>
      <c r="AC308" s="31">
        <f t="shared" si="395"/>
        <v>0</v>
      </c>
      <c r="AD308" s="31">
        <f t="shared" si="396"/>
        <v>0</v>
      </c>
      <c r="AE308" s="31">
        <f t="shared" si="397"/>
        <v>0</v>
      </c>
      <c r="AF308" s="31">
        <f t="shared" si="398"/>
        <v>0</v>
      </c>
      <c r="AG308" s="31">
        <f t="shared" si="399"/>
        <v>0</v>
      </c>
      <c r="AH308" s="26"/>
      <c r="AI308" s="18">
        <f t="shared" si="400"/>
        <v>0</v>
      </c>
      <c r="AJ308" s="18">
        <f t="shared" si="401"/>
        <v>0</v>
      </c>
      <c r="AK308" s="18">
        <f t="shared" si="402"/>
        <v>0</v>
      </c>
      <c r="AM308" s="31">
        <v>21</v>
      </c>
      <c r="AN308" s="31">
        <f>G308*1</f>
        <v>0</v>
      </c>
      <c r="AO308" s="31">
        <f>G308*(1-1)</f>
        <v>0</v>
      </c>
      <c r="AP308" s="28" t="s">
        <v>13</v>
      </c>
      <c r="AU308" s="31">
        <f t="shared" si="403"/>
        <v>0</v>
      </c>
      <c r="AV308" s="31">
        <f t="shared" si="404"/>
        <v>0</v>
      </c>
      <c r="AW308" s="31">
        <f t="shared" si="405"/>
        <v>0</v>
      </c>
      <c r="AX308" s="32" t="s">
        <v>1186</v>
      </c>
      <c r="AY308" s="32" t="s">
        <v>1211</v>
      </c>
      <c r="AZ308" s="26" t="s">
        <v>1215</v>
      </c>
      <c r="BB308" s="31">
        <f t="shared" si="406"/>
        <v>0</v>
      </c>
      <c r="BC308" s="31">
        <f t="shared" si="407"/>
        <v>0</v>
      </c>
      <c r="BD308" s="31">
        <v>0</v>
      </c>
      <c r="BE308" s="31">
        <f t="shared" si="408"/>
        <v>1.9126800000000002</v>
      </c>
      <c r="BG308" s="18">
        <f t="shared" si="409"/>
        <v>0</v>
      </c>
      <c r="BH308" s="18">
        <f t="shared" si="410"/>
        <v>0</v>
      </c>
      <c r="BI308" s="18">
        <f t="shared" si="411"/>
        <v>0</v>
      </c>
    </row>
    <row r="309" spans="1:46" ht="12.75">
      <c r="A309" s="6"/>
      <c r="B309" s="13"/>
      <c r="C309" s="13" t="s">
        <v>631</v>
      </c>
      <c r="D309" s="73" t="s">
        <v>1007</v>
      </c>
      <c r="E309" s="6" t="s">
        <v>6</v>
      </c>
      <c r="F309" s="6" t="s">
        <v>6</v>
      </c>
      <c r="G309" s="151" t="s">
        <v>6</v>
      </c>
      <c r="H309" s="34">
        <f>SUM(H310:H310)</f>
        <v>0</v>
      </c>
      <c r="I309" s="34">
        <f>SUM(I310:I310)</f>
        <v>0</v>
      </c>
      <c r="J309" s="34">
        <f>SUM(J310:J310)</f>
        <v>0</v>
      </c>
      <c r="K309" s="26"/>
      <c r="L309" s="34">
        <f>SUM(L310:L310)</f>
        <v>0.0019000000000000002</v>
      </c>
      <c r="AH309" s="26"/>
      <c r="AR309" s="34">
        <f>SUM(AI310:AI310)</f>
        <v>0</v>
      </c>
      <c r="AS309" s="34">
        <f>SUM(AJ310:AJ310)</f>
        <v>0</v>
      </c>
      <c r="AT309" s="34">
        <f>SUM(AK310:AK310)</f>
        <v>0</v>
      </c>
    </row>
    <row r="310" spans="1:61" ht="12.75">
      <c r="A310" s="4" t="s">
        <v>270</v>
      </c>
      <c r="B310" s="4"/>
      <c r="C310" s="4" t="s">
        <v>632</v>
      </c>
      <c r="D310" s="71" t="s">
        <v>1008</v>
      </c>
      <c r="E310" s="4" t="s">
        <v>1126</v>
      </c>
      <c r="F310" s="17">
        <v>5</v>
      </c>
      <c r="G310" s="148">
        <v>0</v>
      </c>
      <c r="H310" s="17">
        <f>F310*AN310</f>
        <v>0</v>
      </c>
      <c r="I310" s="17">
        <f>F310*AO310</f>
        <v>0</v>
      </c>
      <c r="J310" s="17">
        <f>F310*G310</f>
        <v>0</v>
      </c>
      <c r="K310" s="17">
        <v>0.00038</v>
      </c>
      <c r="L310" s="17">
        <f>F310*K310</f>
        <v>0.0019000000000000002</v>
      </c>
      <c r="Y310" s="31">
        <f>IF(AP310="5",BI310,0)</f>
        <v>0</v>
      </c>
      <c r="AA310" s="31">
        <f>IF(AP310="1",BG310,0)</f>
        <v>0</v>
      </c>
      <c r="AB310" s="31">
        <f>IF(AP310="1",BH310,0)</f>
        <v>0</v>
      </c>
      <c r="AC310" s="31">
        <f>IF(AP310="7",BG310,0)</f>
        <v>0</v>
      </c>
      <c r="AD310" s="31">
        <f>IF(AP310="7",BH310,0)</f>
        <v>0</v>
      </c>
      <c r="AE310" s="31">
        <f>IF(AP310="2",BG310,0)</f>
        <v>0</v>
      </c>
      <c r="AF310" s="31">
        <f>IF(AP310="2",BH310,0)</f>
        <v>0</v>
      </c>
      <c r="AG310" s="31">
        <f>IF(AP310="0",BI310,0)</f>
        <v>0</v>
      </c>
      <c r="AH310" s="26"/>
      <c r="AI310" s="17">
        <f>IF(AM310=0,J310,0)</f>
        <v>0</v>
      </c>
      <c r="AJ310" s="17">
        <f>IF(AM310=15,J310,0)</f>
        <v>0</v>
      </c>
      <c r="AK310" s="17">
        <f>IF(AM310=21,J310,0)</f>
        <v>0</v>
      </c>
      <c r="AM310" s="31">
        <v>21</v>
      </c>
      <c r="AN310" s="31">
        <f>G310*0.157068062827225</f>
        <v>0</v>
      </c>
      <c r="AO310" s="31">
        <f>G310*(1-0.157068062827225)</f>
        <v>0</v>
      </c>
      <c r="AP310" s="27" t="s">
        <v>13</v>
      </c>
      <c r="AU310" s="31">
        <f>AV310+AW310</f>
        <v>0</v>
      </c>
      <c r="AV310" s="31">
        <f>F310*AN310</f>
        <v>0</v>
      </c>
      <c r="AW310" s="31">
        <f>F310*AO310</f>
        <v>0</v>
      </c>
      <c r="AX310" s="32" t="s">
        <v>1187</v>
      </c>
      <c r="AY310" s="32" t="s">
        <v>1211</v>
      </c>
      <c r="AZ310" s="26" t="s">
        <v>1215</v>
      </c>
      <c r="BB310" s="31">
        <f>AV310+AW310</f>
        <v>0</v>
      </c>
      <c r="BC310" s="31">
        <f>G310/(100-BD310)*100</f>
        <v>0</v>
      </c>
      <c r="BD310" s="31">
        <v>0</v>
      </c>
      <c r="BE310" s="31">
        <f>L310</f>
        <v>0.0019000000000000002</v>
      </c>
      <c r="BG310" s="17">
        <f>F310*AN310</f>
        <v>0</v>
      </c>
      <c r="BH310" s="17">
        <f>F310*AO310</f>
        <v>0</v>
      </c>
      <c r="BI310" s="17">
        <f>F310*G310</f>
        <v>0</v>
      </c>
    </row>
    <row r="311" spans="1:46" ht="12.75">
      <c r="A311" s="6"/>
      <c r="B311" s="13"/>
      <c r="C311" s="13" t="s">
        <v>633</v>
      </c>
      <c r="D311" s="73" t="s">
        <v>1009</v>
      </c>
      <c r="E311" s="6" t="s">
        <v>6</v>
      </c>
      <c r="F311" s="6" t="s">
        <v>6</v>
      </c>
      <c r="G311" s="151" t="s">
        <v>6</v>
      </c>
      <c r="H311" s="34">
        <f>SUM(H312:H320)</f>
        <v>0</v>
      </c>
      <c r="I311" s="34">
        <f>SUM(I312:I320)</f>
        <v>0</v>
      </c>
      <c r="J311" s="34">
        <f>SUM(J312:J320)</f>
        <v>0</v>
      </c>
      <c r="K311" s="26"/>
      <c r="L311" s="34">
        <f>SUM(L312:L320)</f>
        <v>0.6576000000000001</v>
      </c>
      <c r="AH311" s="26"/>
      <c r="AR311" s="34">
        <f>SUM(AI312:AI320)</f>
        <v>0</v>
      </c>
      <c r="AS311" s="34">
        <f>SUM(AJ312:AJ320)</f>
        <v>0</v>
      </c>
      <c r="AT311" s="34">
        <f>SUM(AK312:AK320)</f>
        <v>0</v>
      </c>
    </row>
    <row r="312" spans="1:61" ht="12.75">
      <c r="A312" s="4" t="s">
        <v>271</v>
      </c>
      <c r="B312" s="4"/>
      <c r="C312" s="4" t="s">
        <v>634</v>
      </c>
      <c r="D312" s="71" t="s">
        <v>1010</v>
      </c>
      <c r="E312" s="4" t="s">
        <v>1121</v>
      </c>
      <c r="F312" s="17">
        <v>300</v>
      </c>
      <c r="G312" s="148">
        <v>0</v>
      </c>
      <c r="H312" s="17">
        <f aca="true" t="shared" si="412" ref="H312:H320">F312*AN312</f>
        <v>0</v>
      </c>
      <c r="I312" s="17">
        <f aca="true" t="shared" si="413" ref="I312:I320">F312*AO312</f>
        <v>0</v>
      </c>
      <c r="J312" s="17">
        <f aca="true" t="shared" si="414" ref="J312:J320">F312*G312</f>
        <v>0</v>
      </c>
      <c r="K312" s="17">
        <v>2E-05</v>
      </c>
      <c r="L312" s="17">
        <f aca="true" t="shared" si="415" ref="L312:L320">F312*K312</f>
        <v>0.006</v>
      </c>
      <c r="Y312" s="31">
        <f aca="true" t="shared" si="416" ref="Y312:Y320">IF(AP312="5",BI312,0)</f>
        <v>0</v>
      </c>
      <c r="AA312" s="31">
        <f aca="true" t="shared" si="417" ref="AA312:AA320">IF(AP312="1",BG312,0)</f>
        <v>0</v>
      </c>
      <c r="AB312" s="31">
        <f aca="true" t="shared" si="418" ref="AB312:AB320">IF(AP312="1",BH312,0)</f>
        <v>0</v>
      </c>
      <c r="AC312" s="31">
        <f aca="true" t="shared" si="419" ref="AC312:AC320">IF(AP312="7",BG312,0)</f>
        <v>0</v>
      </c>
      <c r="AD312" s="31">
        <f aca="true" t="shared" si="420" ref="AD312:AD320">IF(AP312="7",BH312,0)</f>
        <v>0</v>
      </c>
      <c r="AE312" s="31">
        <f aca="true" t="shared" si="421" ref="AE312:AE320">IF(AP312="2",BG312,0)</f>
        <v>0</v>
      </c>
      <c r="AF312" s="31">
        <f aca="true" t="shared" si="422" ref="AF312:AF320">IF(AP312="2",BH312,0)</f>
        <v>0</v>
      </c>
      <c r="AG312" s="31">
        <f aca="true" t="shared" si="423" ref="AG312:AG320">IF(AP312="0",BI312,0)</f>
        <v>0</v>
      </c>
      <c r="AH312" s="26"/>
      <c r="AI312" s="17">
        <f aca="true" t="shared" si="424" ref="AI312:AI320">IF(AM312=0,J312,0)</f>
        <v>0</v>
      </c>
      <c r="AJ312" s="17">
        <f aca="true" t="shared" si="425" ref="AJ312:AJ320">IF(AM312=15,J312,0)</f>
        <v>0</v>
      </c>
      <c r="AK312" s="17">
        <f aca="true" t="shared" si="426" ref="AK312:AK320">IF(AM312=21,J312,0)</f>
        <v>0</v>
      </c>
      <c r="AM312" s="31">
        <v>21</v>
      </c>
      <c r="AN312" s="31">
        <f>G312*0.296274393849793</f>
        <v>0</v>
      </c>
      <c r="AO312" s="31">
        <f>G312*(1-0.296274393849793)</f>
        <v>0</v>
      </c>
      <c r="AP312" s="27" t="s">
        <v>13</v>
      </c>
      <c r="AU312" s="31">
        <f aca="true" t="shared" si="427" ref="AU312:AU320">AV312+AW312</f>
        <v>0</v>
      </c>
      <c r="AV312" s="31">
        <f aca="true" t="shared" si="428" ref="AV312:AV320">F312*AN312</f>
        <v>0</v>
      </c>
      <c r="AW312" s="31">
        <f aca="true" t="shared" si="429" ref="AW312:AW320">F312*AO312</f>
        <v>0</v>
      </c>
      <c r="AX312" s="32" t="s">
        <v>1188</v>
      </c>
      <c r="AY312" s="32" t="s">
        <v>1211</v>
      </c>
      <c r="AZ312" s="26" t="s">
        <v>1215</v>
      </c>
      <c r="BB312" s="31">
        <f aca="true" t="shared" si="430" ref="BB312:BB320">AV312+AW312</f>
        <v>0</v>
      </c>
      <c r="BC312" s="31">
        <f aca="true" t="shared" si="431" ref="BC312:BC320">G312/(100-BD312)*100</f>
        <v>0</v>
      </c>
      <c r="BD312" s="31">
        <v>0</v>
      </c>
      <c r="BE312" s="31">
        <f aca="true" t="shared" si="432" ref="BE312:BE320">L312</f>
        <v>0.006</v>
      </c>
      <c r="BG312" s="17">
        <f aca="true" t="shared" si="433" ref="BG312:BG320">F312*AN312</f>
        <v>0</v>
      </c>
      <c r="BH312" s="17">
        <f aca="true" t="shared" si="434" ref="BH312:BH320">F312*AO312</f>
        <v>0</v>
      </c>
      <c r="BI312" s="17">
        <f aca="true" t="shared" si="435" ref="BI312:BI320">F312*G312</f>
        <v>0</v>
      </c>
    </row>
    <row r="313" spans="1:61" ht="12.75">
      <c r="A313" s="4" t="s">
        <v>272</v>
      </c>
      <c r="B313" s="4"/>
      <c r="C313" s="4" t="s">
        <v>635</v>
      </c>
      <c r="D313" s="71" t="s">
        <v>1011</v>
      </c>
      <c r="E313" s="4" t="s">
        <v>1123</v>
      </c>
      <c r="F313" s="17">
        <v>300</v>
      </c>
      <c r="G313" s="148">
        <v>0</v>
      </c>
      <c r="H313" s="17">
        <f t="shared" si="412"/>
        <v>0</v>
      </c>
      <c r="I313" s="17">
        <f t="shared" si="413"/>
        <v>0</v>
      </c>
      <c r="J313" s="17">
        <f t="shared" si="414"/>
        <v>0</v>
      </c>
      <c r="K313" s="17">
        <v>0</v>
      </c>
      <c r="L313" s="17">
        <f t="shared" si="415"/>
        <v>0</v>
      </c>
      <c r="Y313" s="31">
        <f t="shared" si="416"/>
        <v>0</v>
      </c>
      <c r="AA313" s="31">
        <f t="shared" si="417"/>
        <v>0</v>
      </c>
      <c r="AB313" s="31">
        <f t="shared" si="418"/>
        <v>0</v>
      </c>
      <c r="AC313" s="31">
        <f t="shared" si="419"/>
        <v>0</v>
      </c>
      <c r="AD313" s="31">
        <f t="shared" si="420"/>
        <v>0</v>
      </c>
      <c r="AE313" s="31">
        <f t="shared" si="421"/>
        <v>0</v>
      </c>
      <c r="AF313" s="31">
        <f t="shared" si="422"/>
        <v>0</v>
      </c>
      <c r="AG313" s="31">
        <f t="shared" si="423"/>
        <v>0</v>
      </c>
      <c r="AH313" s="26"/>
      <c r="AI313" s="17">
        <f t="shared" si="424"/>
        <v>0</v>
      </c>
      <c r="AJ313" s="17">
        <f t="shared" si="425"/>
        <v>0</v>
      </c>
      <c r="AK313" s="17">
        <f t="shared" si="426"/>
        <v>0</v>
      </c>
      <c r="AM313" s="31">
        <v>21</v>
      </c>
      <c r="AN313" s="31">
        <f>G313*0.0869971936389149</f>
        <v>0</v>
      </c>
      <c r="AO313" s="31">
        <f>G313*(1-0.0869971936389149)</f>
        <v>0</v>
      </c>
      <c r="AP313" s="27" t="s">
        <v>13</v>
      </c>
      <c r="AU313" s="31">
        <f t="shared" si="427"/>
        <v>0</v>
      </c>
      <c r="AV313" s="31">
        <f t="shared" si="428"/>
        <v>0</v>
      </c>
      <c r="AW313" s="31">
        <f t="shared" si="429"/>
        <v>0</v>
      </c>
      <c r="AX313" s="32" t="s">
        <v>1188</v>
      </c>
      <c r="AY313" s="32" t="s">
        <v>1211</v>
      </c>
      <c r="AZ313" s="26" t="s">
        <v>1215</v>
      </c>
      <c r="BB313" s="31">
        <f t="shared" si="430"/>
        <v>0</v>
      </c>
      <c r="BC313" s="31">
        <f t="shared" si="431"/>
        <v>0</v>
      </c>
      <c r="BD313" s="31">
        <v>0</v>
      </c>
      <c r="BE313" s="31">
        <f t="shared" si="432"/>
        <v>0</v>
      </c>
      <c r="BG313" s="17">
        <f t="shared" si="433"/>
        <v>0</v>
      </c>
      <c r="BH313" s="17">
        <f t="shared" si="434"/>
        <v>0</v>
      </c>
      <c r="BI313" s="17">
        <f t="shared" si="435"/>
        <v>0</v>
      </c>
    </row>
    <row r="314" spans="1:61" ht="12.75">
      <c r="A314" s="4" t="s">
        <v>273</v>
      </c>
      <c r="B314" s="4"/>
      <c r="C314" s="4" t="s">
        <v>636</v>
      </c>
      <c r="D314" s="71" t="s">
        <v>1012</v>
      </c>
      <c r="E314" s="4" t="s">
        <v>1121</v>
      </c>
      <c r="F314" s="17">
        <v>731</v>
      </c>
      <c r="G314" s="148">
        <v>0</v>
      </c>
      <c r="H314" s="17">
        <f t="shared" si="412"/>
        <v>0</v>
      </c>
      <c r="I314" s="17">
        <f t="shared" si="413"/>
        <v>0</v>
      </c>
      <c r="J314" s="17">
        <f t="shared" si="414"/>
        <v>0</v>
      </c>
      <c r="K314" s="17">
        <v>0.0002</v>
      </c>
      <c r="L314" s="17">
        <f t="shared" si="415"/>
        <v>0.1462</v>
      </c>
      <c r="Y314" s="31">
        <f t="shared" si="416"/>
        <v>0</v>
      </c>
      <c r="AA314" s="31">
        <f t="shared" si="417"/>
        <v>0</v>
      </c>
      <c r="AB314" s="31">
        <f t="shared" si="418"/>
        <v>0</v>
      </c>
      <c r="AC314" s="31">
        <f t="shared" si="419"/>
        <v>0</v>
      </c>
      <c r="AD314" s="31">
        <f t="shared" si="420"/>
        <v>0</v>
      </c>
      <c r="AE314" s="31">
        <f t="shared" si="421"/>
        <v>0</v>
      </c>
      <c r="AF314" s="31">
        <f t="shared" si="422"/>
        <v>0</v>
      </c>
      <c r="AG314" s="31">
        <f t="shared" si="423"/>
        <v>0</v>
      </c>
      <c r="AH314" s="26"/>
      <c r="AI314" s="17">
        <f t="shared" si="424"/>
        <v>0</v>
      </c>
      <c r="AJ314" s="17">
        <f t="shared" si="425"/>
        <v>0</v>
      </c>
      <c r="AK314" s="17">
        <f t="shared" si="426"/>
        <v>0</v>
      </c>
      <c r="AM314" s="31">
        <v>21</v>
      </c>
      <c r="AN314" s="31">
        <f>G314*0.609117647058824</f>
        <v>0</v>
      </c>
      <c r="AO314" s="31">
        <f>G314*(1-0.609117647058824)</f>
        <v>0</v>
      </c>
      <c r="AP314" s="27" t="s">
        <v>13</v>
      </c>
      <c r="AU314" s="31">
        <f t="shared" si="427"/>
        <v>0</v>
      </c>
      <c r="AV314" s="31">
        <f t="shared" si="428"/>
        <v>0</v>
      </c>
      <c r="AW314" s="31">
        <f t="shared" si="429"/>
        <v>0</v>
      </c>
      <c r="AX314" s="32" t="s">
        <v>1188</v>
      </c>
      <c r="AY314" s="32" t="s">
        <v>1211</v>
      </c>
      <c r="AZ314" s="26" t="s">
        <v>1215</v>
      </c>
      <c r="BB314" s="31">
        <f t="shared" si="430"/>
        <v>0</v>
      </c>
      <c r="BC314" s="31">
        <f t="shared" si="431"/>
        <v>0</v>
      </c>
      <c r="BD314" s="31">
        <v>0</v>
      </c>
      <c r="BE314" s="31">
        <f t="shared" si="432"/>
        <v>0.1462</v>
      </c>
      <c r="BG314" s="17">
        <f t="shared" si="433"/>
        <v>0</v>
      </c>
      <c r="BH314" s="17">
        <f t="shared" si="434"/>
        <v>0</v>
      </c>
      <c r="BI314" s="17">
        <f t="shared" si="435"/>
        <v>0</v>
      </c>
    </row>
    <row r="315" spans="1:61" ht="12.75">
      <c r="A315" s="4" t="s">
        <v>274</v>
      </c>
      <c r="B315" s="4"/>
      <c r="C315" s="4" t="s">
        <v>637</v>
      </c>
      <c r="D315" s="71" t="s">
        <v>1013</v>
      </c>
      <c r="E315" s="4" t="s">
        <v>1121</v>
      </c>
      <c r="F315" s="17">
        <v>731</v>
      </c>
      <c r="G315" s="148">
        <v>0</v>
      </c>
      <c r="H315" s="17">
        <f t="shared" si="412"/>
        <v>0</v>
      </c>
      <c r="I315" s="17">
        <f t="shared" si="413"/>
        <v>0</v>
      </c>
      <c r="J315" s="17">
        <f t="shared" si="414"/>
        <v>0</v>
      </c>
      <c r="K315" s="17">
        <v>0.00024</v>
      </c>
      <c r="L315" s="17">
        <f t="shared" si="415"/>
        <v>0.17544</v>
      </c>
      <c r="Y315" s="31">
        <f t="shared" si="416"/>
        <v>0</v>
      </c>
      <c r="AA315" s="31">
        <f t="shared" si="417"/>
        <v>0</v>
      </c>
      <c r="AB315" s="31">
        <f t="shared" si="418"/>
        <v>0</v>
      </c>
      <c r="AC315" s="31">
        <f t="shared" si="419"/>
        <v>0</v>
      </c>
      <c r="AD315" s="31">
        <f t="shared" si="420"/>
        <v>0</v>
      </c>
      <c r="AE315" s="31">
        <f t="shared" si="421"/>
        <v>0</v>
      </c>
      <c r="AF315" s="31">
        <f t="shared" si="422"/>
        <v>0</v>
      </c>
      <c r="AG315" s="31">
        <f t="shared" si="423"/>
        <v>0</v>
      </c>
      <c r="AH315" s="26"/>
      <c r="AI315" s="17">
        <f t="shared" si="424"/>
        <v>0</v>
      </c>
      <c r="AJ315" s="17">
        <f t="shared" si="425"/>
        <v>0</v>
      </c>
      <c r="AK315" s="17">
        <f t="shared" si="426"/>
        <v>0</v>
      </c>
      <c r="AM315" s="31">
        <v>21</v>
      </c>
      <c r="AN315" s="31">
        <f>G315*0.251384615384615</f>
        <v>0</v>
      </c>
      <c r="AO315" s="31">
        <f>G315*(1-0.251384615384615)</f>
        <v>0</v>
      </c>
      <c r="AP315" s="27" t="s">
        <v>13</v>
      </c>
      <c r="AU315" s="31">
        <f t="shared" si="427"/>
        <v>0</v>
      </c>
      <c r="AV315" s="31">
        <f t="shared" si="428"/>
        <v>0</v>
      </c>
      <c r="AW315" s="31">
        <f t="shared" si="429"/>
        <v>0</v>
      </c>
      <c r="AX315" s="32" t="s">
        <v>1188</v>
      </c>
      <c r="AY315" s="32" t="s">
        <v>1211</v>
      </c>
      <c r="AZ315" s="26" t="s">
        <v>1215</v>
      </c>
      <c r="BB315" s="31">
        <f t="shared" si="430"/>
        <v>0</v>
      </c>
      <c r="BC315" s="31">
        <f t="shared" si="431"/>
        <v>0</v>
      </c>
      <c r="BD315" s="31">
        <v>0</v>
      </c>
      <c r="BE315" s="31">
        <f t="shared" si="432"/>
        <v>0.17544</v>
      </c>
      <c r="BG315" s="17">
        <f t="shared" si="433"/>
        <v>0</v>
      </c>
      <c r="BH315" s="17">
        <f t="shared" si="434"/>
        <v>0</v>
      </c>
      <c r="BI315" s="17">
        <f t="shared" si="435"/>
        <v>0</v>
      </c>
    </row>
    <row r="316" spans="1:61" ht="12.75">
      <c r="A316" s="4" t="s">
        <v>275</v>
      </c>
      <c r="B316" s="4"/>
      <c r="C316" s="4" t="s">
        <v>634</v>
      </c>
      <c r="D316" s="71" t="s">
        <v>1010</v>
      </c>
      <c r="E316" s="4" t="s">
        <v>1121</v>
      </c>
      <c r="F316" s="17">
        <v>20</v>
      </c>
      <c r="G316" s="148">
        <v>0</v>
      </c>
      <c r="H316" s="17">
        <f t="shared" si="412"/>
        <v>0</v>
      </c>
      <c r="I316" s="17">
        <f t="shared" si="413"/>
        <v>0</v>
      </c>
      <c r="J316" s="17">
        <f t="shared" si="414"/>
        <v>0</v>
      </c>
      <c r="K316" s="17">
        <v>2E-05</v>
      </c>
      <c r="L316" s="17">
        <f t="shared" si="415"/>
        <v>0.0004</v>
      </c>
      <c r="Y316" s="31">
        <f t="shared" si="416"/>
        <v>0</v>
      </c>
      <c r="AA316" s="31">
        <f t="shared" si="417"/>
        <v>0</v>
      </c>
      <c r="AB316" s="31">
        <f t="shared" si="418"/>
        <v>0</v>
      </c>
      <c r="AC316" s="31">
        <f t="shared" si="419"/>
        <v>0</v>
      </c>
      <c r="AD316" s="31">
        <f t="shared" si="420"/>
        <v>0</v>
      </c>
      <c r="AE316" s="31">
        <f t="shared" si="421"/>
        <v>0</v>
      </c>
      <c r="AF316" s="31">
        <f t="shared" si="422"/>
        <v>0</v>
      </c>
      <c r="AG316" s="31">
        <f t="shared" si="423"/>
        <v>0</v>
      </c>
      <c r="AH316" s="26"/>
      <c r="AI316" s="17">
        <f t="shared" si="424"/>
        <v>0</v>
      </c>
      <c r="AJ316" s="17">
        <f t="shared" si="425"/>
        <v>0</v>
      </c>
      <c r="AK316" s="17">
        <f t="shared" si="426"/>
        <v>0</v>
      </c>
      <c r="AM316" s="31">
        <v>21</v>
      </c>
      <c r="AN316" s="31">
        <f>G316*0.296274393849793</f>
        <v>0</v>
      </c>
      <c r="AO316" s="31">
        <f>G316*(1-0.296274393849793)</f>
        <v>0</v>
      </c>
      <c r="AP316" s="27" t="s">
        <v>13</v>
      </c>
      <c r="AU316" s="31">
        <f t="shared" si="427"/>
        <v>0</v>
      </c>
      <c r="AV316" s="31">
        <f t="shared" si="428"/>
        <v>0</v>
      </c>
      <c r="AW316" s="31">
        <f t="shared" si="429"/>
        <v>0</v>
      </c>
      <c r="AX316" s="32" t="s">
        <v>1188</v>
      </c>
      <c r="AY316" s="32" t="s">
        <v>1211</v>
      </c>
      <c r="AZ316" s="26" t="s">
        <v>1215</v>
      </c>
      <c r="BB316" s="31">
        <f t="shared" si="430"/>
        <v>0</v>
      </c>
      <c r="BC316" s="31">
        <f t="shared" si="431"/>
        <v>0</v>
      </c>
      <c r="BD316" s="31">
        <v>0</v>
      </c>
      <c r="BE316" s="31">
        <f t="shared" si="432"/>
        <v>0.0004</v>
      </c>
      <c r="BG316" s="17">
        <f t="shared" si="433"/>
        <v>0</v>
      </c>
      <c r="BH316" s="17">
        <f t="shared" si="434"/>
        <v>0</v>
      </c>
      <c r="BI316" s="17">
        <f t="shared" si="435"/>
        <v>0</v>
      </c>
    </row>
    <row r="317" spans="1:61" ht="12.75">
      <c r="A317" s="4" t="s">
        <v>276</v>
      </c>
      <c r="B317" s="4"/>
      <c r="C317" s="4" t="s">
        <v>635</v>
      </c>
      <c r="D317" s="71" t="s">
        <v>1011</v>
      </c>
      <c r="E317" s="4" t="s">
        <v>1123</v>
      </c>
      <c r="F317" s="17">
        <v>20</v>
      </c>
      <c r="G317" s="148">
        <v>0</v>
      </c>
      <c r="H317" s="17">
        <f t="shared" si="412"/>
        <v>0</v>
      </c>
      <c r="I317" s="17">
        <f t="shared" si="413"/>
        <v>0</v>
      </c>
      <c r="J317" s="17">
        <f t="shared" si="414"/>
        <v>0</v>
      </c>
      <c r="K317" s="17">
        <v>0</v>
      </c>
      <c r="L317" s="17">
        <f t="shared" si="415"/>
        <v>0</v>
      </c>
      <c r="Y317" s="31">
        <f t="shared" si="416"/>
        <v>0</v>
      </c>
      <c r="AA317" s="31">
        <f t="shared" si="417"/>
        <v>0</v>
      </c>
      <c r="AB317" s="31">
        <f t="shared" si="418"/>
        <v>0</v>
      </c>
      <c r="AC317" s="31">
        <f t="shared" si="419"/>
        <v>0</v>
      </c>
      <c r="AD317" s="31">
        <f t="shared" si="420"/>
        <v>0</v>
      </c>
      <c r="AE317" s="31">
        <f t="shared" si="421"/>
        <v>0</v>
      </c>
      <c r="AF317" s="31">
        <f t="shared" si="422"/>
        <v>0</v>
      </c>
      <c r="AG317" s="31">
        <f t="shared" si="423"/>
        <v>0</v>
      </c>
      <c r="AH317" s="26"/>
      <c r="AI317" s="17">
        <f t="shared" si="424"/>
        <v>0</v>
      </c>
      <c r="AJ317" s="17">
        <f t="shared" si="425"/>
        <v>0</v>
      </c>
      <c r="AK317" s="17">
        <f t="shared" si="426"/>
        <v>0</v>
      </c>
      <c r="AM317" s="31">
        <v>21</v>
      </c>
      <c r="AN317" s="31">
        <f>G317*0.0869971936389149</f>
        <v>0</v>
      </c>
      <c r="AO317" s="31">
        <f>G317*(1-0.0869971936389149)</f>
        <v>0</v>
      </c>
      <c r="AP317" s="27" t="s">
        <v>13</v>
      </c>
      <c r="AU317" s="31">
        <f t="shared" si="427"/>
        <v>0</v>
      </c>
      <c r="AV317" s="31">
        <f t="shared" si="428"/>
        <v>0</v>
      </c>
      <c r="AW317" s="31">
        <f t="shared" si="429"/>
        <v>0</v>
      </c>
      <c r="AX317" s="32" t="s">
        <v>1188</v>
      </c>
      <c r="AY317" s="32" t="s">
        <v>1211</v>
      </c>
      <c r="AZ317" s="26" t="s">
        <v>1215</v>
      </c>
      <c r="BB317" s="31">
        <f t="shared" si="430"/>
        <v>0</v>
      </c>
      <c r="BC317" s="31">
        <f t="shared" si="431"/>
        <v>0</v>
      </c>
      <c r="BD317" s="31">
        <v>0</v>
      </c>
      <c r="BE317" s="31">
        <f t="shared" si="432"/>
        <v>0</v>
      </c>
      <c r="BG317" s="17">
        <f t="shared" si="433"/>
        <v>0</v>
      </c>
      <c r="BH317" s="17">
        <f t="shared" si="434"/>
        <v>0</v>
      </c>
      <c r="BI317" s="17">
        <f t="shared" si="435"/>
        <v>0</v>
      </c>
    </row>
    <row r="318" spans="1:61" ht="12.75">
      <c r="A318" s="4" t="s">
        <v>277</v>
      </c>
      <c r="B318" s="4"/>
      <c r="C318" s="4" t="s">
        <v>636</v>
      </c>
      <c r="D318" s="71" t="s">
        <v>1012</v>
      </c>
      <c r="E318" s="4" t="s">
        <v>1121</v>
      </c>
      <c r="F318" s="17">
        <v>749</v>
      </c>
      <c r="G318" s="148">
        <v>0</v>
      </c>
      <c r="H318" s="17">
        <f t="shared" si="412"/>
        <v>0</v>
      </c>
      <c r="I318" s="17">
        <f t="shared" si="413"/>
        <v>0</v>
      </c>
      <c r="J318" s="17">
        <f t="shared" si="414"/>
        <v>0</v>
      </c>
      <c r="K318" s="17">
        <v>0.0002</v>
      </c>
      <c r="L318" s="17">
        <f t="shared" si="415"/>
        <v>0.14980000000000002</v>
      </c>
      <c r="Y318" s="31">
        <f t="shared" si="416"/>
        <v>0</v>
      </c>
      <c r="AA318" s="31">
        <f t="shared" si="417"/>
        <v>0</v>
      </c>
      <c r="AB318" s="31">
        <f t="shared" si="418"/>
        <v>0</v>
      </c>
      <c r="AC318" s="31">
        <f t="shared" si="419"/>
        <v>0</v>
      </c>
      <c r="AD318" s="31">
        <f t="shared" si="420"/>
        <v>0</v>
      </c>
      <c r="AE318" s="31">
        <f t="shared" si="421"/>
        <v>0</v>
      </c>
      <c r="AF318" s="31">
        <f t="shared" si="422"/>
        <v>0</v>
      </c>
      <c r="AG318" s="31">
        <f t="shared" si="423"/>
        <v>0</v>
      </c>
      <c r="AH318" s="26"/>
      <c r="AI318" s="17">
        <f t="shared" si="424"/>
        <v>0</v>
      </c>
      <c r="AJ318" s="17">
        <f t="shared" si="425"/>
        <v>0</v>
      </c>
      <c r="AK318" s="17">
        <f t="shared" si="426"/>
        <v>0</v>
      </c>
      <c r="AM318" s="31">
        <v>21</v>
      </c>
      <c r="AN318" s="31">
        <f>G318*0.609117647058824</f>
        <v>0</v>
      </c>
      <c r="AO318" s="31">
        <f>G318*(1-0.609117647058824)</f>
        <v>0</v>
      </c>
      <c r="AP318" s="27" t="s">
        <v>13</v>
      </c>
      <c r="AU318" s="31">
        <f t="shared" si="427"/>
        <v>0</v>
      </c>
      <c r="AV318" s="31">
        <f t="shared" si="428"/>
        <v>0</v>
      </c>
      <c r="AW318" s="31">
        <f t="shared" si="429"/>
        <v>0</v>
      </c>
      <c r="AX318" s="32" t="s">
        <v>1188</v>
      </c>
      <c r="AY318" s="32" t="s">
        <v>1211</v>
      </c>
      <c r="AZ318" s="26" t="s">
        <v>1215</v>
      </c>
      <c r="BB318" s="31">
        <f t="shared" si="430"/>
        <v>0</v>
      </c>
      <c r="BC318" s="31">
        <f t="shared" si="431"/>
        <v>0</v>
      </c>
      <c r="BD318" s="31">
        <v>0</v>
      </c>
      <c r="BE318" s="31">
        <f t="shared" si="432"/>
        <v>0.14980000000000002</v>
      </c>
      <c r="BG318" s="17">
        <f t="shared" si="433"/>
        <v>0</v>
      </c>
      <c r="BH318" s="17">
        <f t="shared" si="434"/>
        <v>0</v>
      </c>
      <c r="BI318" s="17">
        <f t="shared" si="435"/>
        <v>0</v>
      </c>
    </row>
    <row r="319" spans="1:61" ht="12.75">
      <c r="A319" s="4" t="s">
        <v>278</v>
      </c>
      <c r="B319" s="4"/>
      <c r="C319" s="4" t="s">
        <v>637</v>
      </c>
      <c r="D319" s="71" t="s">
        <v>1013</v>
      </c>
      <c r="E319" s="4" t="s">
        <v>1121</v>
      </c>
      <c r="F319" s="17">
        <v>749</v>
      </c>
      <c r="G319" s="148">
        <v>0</v>
      </c>
      <c r="H319" s="17">
        <f t="shared" si="412"/>
        <v>0</v>
      </c>
      <c r="I319" s="17">
        <f t="shared" si="413"/>
        <v>0</v>
      </c>
      <c r="J319" s="17">
        <f t="shared" si="414"/>
        <v>0</v>
      </c>
      <c r="K319" s="17">
        <v>0.00024</v>
      </c>
      <c r="L319" s="17">
        <f t="shared" si="415"/>
        <v>0.17976</v>
      </c>
      <c r="Y319" s="31">
        <f t="shared" si="416"/>
        <v>0</v>
      </c>
      <c r="AA319" s="31">
        <f t="shared" si="417"/>
        <v>0</v>
      </c>
      <c r="AB319" s="31">
        <f t="shared" si="418"/>
        <v>0</v>
      </c>
      <c r="AC319" s="31">
        <f t="shared" si="419"/>
        <v>0</v>
      </c>
      <c r="AD319" s="31">
        <f t="shared" si="420"/>
        <v>0</v>
      </c>
      <c r="AE319" s="31">
        <f t="shared" si="421"/>
        <v>0</v>
      </c>
      <c r="AF319" s="31">
        <f t="shared" si="422"/>
        <v>0</v>
      </c>
      <c r="AG319" s="31">
        <f t="shared" si="423"/>
        <v>0</v>
      </c>
      <c r="AH319" s="26"/>
      <c r="AI319" s="17">
        <f t="shared" si="424"/>
        <v>0</v>
      </c>
      <c r="AJ319" s="17">
        <f t="shared" si="425"/>
        <v>0</v>
      </c>
      <c r="AK319" s="17">
        <f t="shared" si="426"/>
        <v>0</v>
      </c>
      <c r="AM319" s="31">
        <v>21</v>
      </c>
      <c r="AN319" s="31">
        <f>G319*0.251384615384615</f>
        <v>0</v>
      </c>
      <c r="AO319" s="31">
        <f>G319*(1-0.251384615384615)</f>
        <v>0</v>
      </c>
      <c r="AP319" s="27" t="s">
        <v>13</v>
      </c>
      <c r="AU319" s="31">
        <f t="shared" si="427"/>
        <v>0</v>
      </c>
      <c r="AV319" s="31">
        <f t="shared" si="428"/>
        <v>0</v>
      </c>
      <c r="AW319" s="31">
        <f t="shared" si="429"/>
        <v>0</v>
      </c>
      <c r="AX319" s="32" t="s">
        <v>1188</v>
      </c>
      <c r="AY319" s="32" t="s">
        <v>1211</v>
      </c>
      <c r="AZ319" s="26" t="s">
        <v>1215</v>
      </c>
      <c r="BB319" s="31">
        <f t="shared" si="430"/>
        <v>0</v>
      </c>
      <c r="BC319" s="31">
        <f t="shared" si="431"/>
        <v>0</v>
      </c>
      <c r="BD319" s="31">
        <v>0</v>
      </c>
      <c r="BE319" s="31">
        <f t="shared" si="432"/>
        <v>0.17976</v>
      </c>
      <c r="BG319" s="17">
        <f t="shared" si="433"/>
        <v>0</v>
      </c>
      <c r="BH319" s="17">
        <f t="shared" si="434"/>
        <v>0</v>
      </c>
      <c r="BI319" s="17">
        <f t="shared" si="435"/>
        <v>0</v>
      </c>
    </row>
    <row r="320" spans="1:61" ht="12.75">
      <c r="A320" s="4" t="s">
        <v>279</v>
      </c>
      <c r="B320" s="4"/>
      <c r="C320" s="4" t="s">
        <v>638</v>
      </c>
      <c r="D320" s="71" t="s">
        <v>1014</v>
      </c>
      <c r="E320" s="4" t="s">
        <v>1121</v>
      </c>
      <c r="F320" s="17">
        <v>749</v>
      </c>
      <c r="G320" s="148">
        <v>0</v>
      </c>
      <c r="H320" s="17">
        <f t="shared" si="412"/>
        <v>0</v>
      </c>
      <c r="I320" s="17">
        <f t="shared" si="413"/>
        <v>0</v>
      </c>
      <c r="J320" s="17">
        <f t="shared" si="414"/>
        <v>0</v>
      </c>
      <c r="K320" s="17">
        <v>0</v>
      </c>
      <c r="L320" s="17">
        <f t="shared" si="415"/>
        <v>0</v>
      </c>
      <c r="Y320" s="31">
        <f t="shared" si="416"/>
        <v>0</v>
      </c>
      <c r="AA320" s="31">
        <f t="shared" si="417"/>
        <v>0</v>
      </c>
      <c r="AB320" s="31">
        <f t="shared" si="418"/>
        <v>0</v>
      </c>
      <c r="AC320" s="31">
        <f t="shared" si="419"/>
        <v>0</v>
      </c>
      <c r="AD320" s="31">
        <f t="shared" si="420"/>
        <v>0</v>
      </c>
      <c r="AE320" s="31">
        <f t="shared" si="421"/>
        <v>0</v>
      </c>
      <c r="AF320" s="31">
        <f t="shared" si="422"/>
        <v>0</v>
      </c>
      <c r="AG320" s="31">
        <f t="shared" si="423"/>
        <v>0</v>
      </c>
      <c r="AH320" s="26"/>
      <c r="AI320" s="17">
        <f t="shared" si="424"/>
        <v>0</v>
      </c>
      <c r="AJ320" s="17">
        <f t="shared" si="425"/>
        <v>0</v>
      </c>
      <c r="AK320" s="17">
        <f t="shared" si="426"/>
        <v>0</v>
      </c>
      <c r="AM320" s="31">
        <v>21</v>
      </c>
      <c r="AN320" s="31">
        <f>G320*0.002710027100271</f>
        <v>0</v>
      </c>
      <c r="AO320" s="31">
        <f>G320*(1-0.002710027100271)</f>
        <v>0</v>
      </c>
      <c r="AP320" s="27" t="s">
        <v>13</v>
      </c>
      <c r="AU320" s="31">
        <f t="shared" si="427"/>
        <v>0</v>
      </c>
      <c r="AV320" s="31">
        <f t="shared" si="428"/>
        <v>0</v>
      </c>
      <c r="AW320" s="31">
        <f t="shared" si="429"/>
        <v>0</v>
      </c>
      <c r="AX320" s="32" t="s">
        <v>1188</v>
      </c>
      <c r="AY320" s="32" t="s">
        <v>1211</v>
      </c>
      <c r="AZ320" s="26" t="s">
        <v>1215</v>
      </c>
      <c r="BB320" s="31">
        <f t="shared" si="430"/>
        <v>0</v>
      </c>
      <c r="BC320" s="31">
        <f t="shared" si="431"/>
        <v>0</v>
      </c>
      <c r="BD320" s="31">
        <v>0</v>
      </c>
      <c r="BE320" s="31">
        <f t="shared" si="432"/>
        <v>0</v>
      </c>
      <c r="BG320" s="17">
        <f t="shared" si="433"/>
        <v>0</v>
      </c>
      <c r="BH320" s="17">
        <f t="shared" si="434"/>
        <v>0</v>
      </c>
      <c r="BI320" s="17">
        <f t="shared" si="435"/>
        <v>0</v>
      </c>
    </row>
    <row r="321" spans="1:46" ht="12.75">
      <c r="A321" s="6"/>
      <c r="B321" s="13"/>
      <c r="C321" s="13" t="s">
        <v>639</v>
      </c>
      <c r="D321" s="73" t="s">
        <v>1015</v>
      </c>
      <c r="E321" s="6" t="s">
        <v>6</v>
      </c>
      <c r="F321" s="6" t="s">
        <v>6</v>
      </c>
      <c r="G321" s="151" t="s">
        <v>6</v>
      </c>
      <c r="H321" s="34">
        <f>SUM(H322:H333)</f>
        <v>0</v>
      </c>
      <c r="I321" s="34">
        <f>SUM(I322:I333)</f>
        <v>0</v>
      </c>
      <c r="J321" s="34">
        <f>SUM(J322:J333)</f>
        <v>0</v>
      </c>
      <c r="K321" s="26"/>
      <c r="L321" s="34">
        <f>SUM(L322:L333)</f>
        <v>0</v>
      </c>
      <c r="AH321" s="26"/>
      <c r="AR321" s="34">
        <f>SUM(AI322:AI333)</f>
        <v>0</v>
      </c>
      <c r="AS321" s="34">
        <f>SUM(AJ322:AJ333)</f>
        <v>0</v>
      </c>
      <c r="AT321" s="34">
        <f>SUM(AK322:AK333)</f>
        <v>0</v>
      </c>
    </row>
    <row r="322" spans="1:61" ht="12.75">
      <c r="A322" s="4" t="s">
        <v>280</v>
      </c>
      <c r="B322" s="4"/>
      <c r="C322" s="4" t="s">
        <v>640</v>
      </c>
      <c r="D322" s="71" t="s">
        <v>1016</v>
      </c>
      <c r="E322" s="4" t="s">
        <v>1125</v>
      </c>
      <c r="F322" s="17">
        <v>1</v>
      </c>
      <c r="G322" s="148">
        <v>0</v>
      </c>
      <c r="H322" s="17">
        <f aca="true" t="shared" si="436" ref="H322:H333">F322*AN322</f>
        <v>0</v>
      </c>
      <c r="I322" s="17">
        <f aca="true" t="shared" si="437" ref="I322:I333">F322*AO322</f>
        <v>0</v>
      </c>
      <c r="J322" s="17">
        <f aca="true" t="shared" si="438" ref="J322:J333">F322*G322</f>
        <v>0</v>
      </c>
      <c r="K322" s="17">
        <v>0</v>
      </c>
      <c r="L322" s="17">
        <f aca="true" t="shared" si="439" ref="L322:L333">F322*K322</f>
        <v>0</v>
      </c>
      <c r="Y322" s="31">
        <f aca="true" t="shared" si="440" ref="Y322:Y333">IF(AP322="5",BI322,0)</f>
        <v>0</v>
      </c>
      <c r="AA322" s="31">
        <f aca="true" t="shared" si="441" ref="AA322:AA333">IF(AP322="1",BG322,0)</f>
        <v>0</v>
      </c>
      <c r="AB322" s="31">
        <f aca="true" t="shared" si="442" ref="AB322:AB333">IF(AP322="1",BH322,0)</f>
        <v>0</v>
      </c>
      <c r="AC322" s="31">
        <f aca="true" t="shared" si="443" ref="AC322:AC333">IF(AP322="7",BG322,0)</f>
        <v>0</v>
      </c>
      <c r="AD322" s="31">
        <f aca="true" t="shared" si="444" ref="AD322:AD333">IF(AP322="7",BH322,0)</f>
        <v>0</v>
      </c>
      <c r="AE322" s="31">
        <f aca="true" t="shared" si="445" ref="AE322:AE333">IF(AP322="2",BG322,0)</f>
        <v>0</v>
      </c>
      <c r="AF322" s="31">
        <f aca="true" t="shared" si="446" ref="AF322:AF333">IF(AP322="2",BH322,0)</f>
        <v>0</v>
      </c>
      <c r="AG322" s="31">
        <f aca="true" t="shared" si="447" ref="AG322:AG333">IF(AP322="0",BI322,0)</f>
        <v>0</v>
      </c>
      <c r="AH322" s="26"/>
      <c r="AI322" s="17">
        <f aca="true" t="shared" si="448" ref="AI322:AI333">IF(AM322=0,J322,0)</f>
        <v>0</v>
      </c>
      <c r="AJ322" s="17">
        <f aca="true" t="shared" si="449" ref="AJ322:AJ333">IF(AM322=15,J322,0)</f>
        <v>0</v>
      </c>
      <c r="AK322" s="17">
        <f aca="true" t="shared" si="450" ref="AK322:AK333">IF(AM322=21,J322,0)</f>
        <v>0</v>
      </c>
      <c r="AM322" s="31">
        <v>21</v>
      </c>
      <c r="AN322" s="31">
        <f>G322*0.969500571864278</f>
        <v>0</v>
      </c>
      <c r="AO322" s="31">
        <f>G322*(1-0.969500571864278)</f>
        <v>0</v>
      </c>
      <c r="AP322" s="27" t="s">
        <v>13</v>
      </c>
      <c r="AU322" s="31">
        <f aca="true" t="shared" si="451" ref="AU322:AU333">AV322+AW322</f>
        <v>0</v>
      </c>
      <c r="AV322" s="31">
        <f aca="true" t="shared" si="452" ref="AV322:AV333">F322*AN322</f>
        <v>0</v>
      </c>
      <c r="AW322" s="31">
        <f aca="true" t="shared" si="453" ref="AW322:AW333">F322*AO322</f>
        <v>0</v>
      </c>
      <c r="AX322" s="32" t="s">
        <v>1189</v>
      </c>
      <c r="AY322" s="32" t="s">
        <v>1212</v>
      </c>
      <c r="AZ322" s="26" t="s">
        <v>1215</v>
      </c>
      <c r="BB322" s="31">
        <f aca="true" t="shared" si="454" ref="BB322:BB333">AV322+AW322</f>
        <v>0</v>
      </c>
      <c r="BC322" s="31">
        <f aca="true" t="shared" si="455" ref="BC322:BC333">G322/(100-BD322)*100</f>
        <v>0</v>
      </c>
      <c r="BD322" s="31">
        <v>0</v>
      </c>
      <c r="BE322" s="31">
        <f aca="true" t="shared" si="456" ref="BE322:BE333">L322</f>
        <v>0</v>
      </c>
      <c r="BG322" s="17">
        <f aca="true" t="shared" si="457" ref="BG322:BG333">F322*AN322</f>
        <v>0</v>
      </c>
      <c r="BH322" s="17">
        <f aca="true" t="shared" si="458" ref="BH322:BH333">F322*AO322</f>
        <v>0</v>
      </c>
      <c r="BI322" s="17">
        <f aca="true" t="shared" si="459" ref="BI322:BI333">F322*G322</f>
        <v>0</v>
      </c>
    </row>
    <row r="323" spans="1:61" ht="12.75">
      <c r="A323" s="4" t="s">
        <v>281</v>
      </c>
      <c r="B323" s="4"/>
      <c r="C323" s="4" t="s">
        <v>641</v>
      </c>
      <c r="D323" s="71" t="s">
        <v>1017</v>
      </c>
      <c r="E323" s="4" t="s">
        <v>1125</v>
      </c>
      <c r="F323" s="17">
        <v>1</v>
      </c>
      <c r="G323" s="148">
        <v>0</v>
      </c>
      <c r="H323" s="17">
        <f t="shared" si="436"/>
        <v>0</v>
      </c>
      <c r="I323" s="17">
        <f t="shared" si="437"/>
        <v>0</v>
      </c>
      <c r="J323" s="17">
        <f t="shared" si="438"/>
        <v>0</v>
      </c>
      <c r="K323" s="17">
        <v>0</v>
      </c>
      <c r="L323" s="17">
        <f t="shared" si="439"/>
        <v>0</v>
      </c>
      <c r="Y323" s="31">
        <f t="shared" si="440"/>
        <v>0</v>
      </c>
      <c r="AA323" s="31">
        <f t="shared" si="441"/>
        <v>0</v>
      </c>
      <c r="AB323" s="31">
        <f t="shared" si="442"/>
        <v>0</v>
      </c>
      <c r="AC323" s="31">
        <f t="shared" si="443"/>
        <v>0</v>
      </c>
      <c r="AD323" s="31">
        <f t="shared" si="444"/>
        <v>0</v>
      </c>
      <c r="AE323" s="31">
        <f t="shared" si="445"/>
        <v>0</v>
      </c>
      <c r="AF323" s="31">
        <f t="shared" si="446"/>
        <v>0</v>
      </c>
      <c r="AG323" s="31">
        <f t="shared" si="447"/>
        <v>0</v>
      </c>
      <c r="AH323" s="26"/>
      <c r="AI323" s="17">
        <f t="shared" si="448"/>
        <v>0</v>
      </c>
      <c r="AJ323" s="17">
        <f t="shared" si="449"/>
        <v>0</v>
      </c>
      <c r="AK323" s="17">
        <f t="shared" si="450"/>
        <v>0</v>
      </c>
      <c r="AM323" s="31">
        <v>21</v>
      </c>
      <c r="AN323" s="31">
        <f>G323*0.932003626473255</f>
        <v>0</v>
      </c>
      <c r="AO323" s="31">
        <f>G323*(1-0.932003626473255)</f>
        <v>0</v>
      </c>
      <c r="AP323" s="27" t="s">
        <v>13</v>
      </c>
      <c r="AU323" s="31">
        <f t="shared" si="451"/>
        <v>0</v>
      </c>
      <c r="AV323" s="31">
        <f t="shared" si="452"/>
        <v>0</v>
      </c>
      <c r="AW323" s="31">
        <f t="shared" si="453"/>
        <v>0</v>
      </c>
      <c r="AX323" s="32" t="s">
        <v>1189</v>
      </c>
      <c r="AY323" s="32" t="s">
        <v>1212</v>
      </c>
      <c r="AZ323" s="26" t="s">
        <v>1215</v>
      </c>
      <c r="BB323" s="31">
        <f t="shared" si="454"/>
        <v>0</v>
      </c>
      <c r="BC323" s="31">
        <f t="shared" si="455"/>
        <v>0</v>
      </c>
      <c r="BD323" s="31">
        <v>0</v>
      </c>
      <c r="BE323" s="31">
        <f t="shared" si="456"/>
        <v>0</v>
      </c>
      <c r="BG323" s="17">
        <f t="shared" si="457"/>
        <v>0</v>
      </c>
      <c r="BH323" s="17">
        <f t="shared" si="458"/>
        <v>0</v>
      </c>
      <c r="BI323" s="17">
        <f t="shared" si="459"/>
        <v>0</v>
      </c>
    </row>
    <row r="324" spans="1:61" ht="12.75">
      <c r="A324" s="4" t="s">
        <v>282</v>
      </c>
      <c r="B324" s="4"/>
      <c r="C324" s="4" t="s">
        <v>642</v>
      </c>
      <c r="D324" s="71" t="s">
        <v>1018</v>
      </c>
      <c r="E324" s="4" t="s">
        <v>1125</v>
      </c>
      <c r="F324" s="17">
        <v>1</v>
      </c>
      <c r="G324" s="148">
        <v>0</v>
      </c>
      <c r="H324" s="17">
        <f t="shared" si="436"/>
        <v>0</v>
      </c>
      <c r="I324" s="17">
        <f t="shared" si="437"/>
        <v>0</v>
      </c>
      <c r="J324" s="17">
        <f t="shared" si="438"/>
        <v>0</v>
      </c>
      <c r="K324" s="17">
        <v>0</v>
      </c>
      <c r="L324" s="17">
        <f t="shared" si="439"/>
        <v>0</v>
      </c>
      <c r="Y324" s="31">
        <f t="shared" si="440"/>
        <v>0</v>
      </c>
      <c r="AA324" s="31">
        <f t="shared" si="441"/>
        <v>0</v>
      </c>
      <c r="AB324" s="31">
        <f t="shared" si="442"/>
        <v>0</v>
      </c>
      <c r="AC324" s="31">
        <f t="shared" si="443"/>
        <v>0</v>
      </c>
      <c r="AD324" s="31">
        <f t="shared" si="444"/>
        <v>0</v>
      </c>
      <c r="AE324" s="31">
        <f t="shared" si="445"/>
        <v>0</v>
      </c>
      <c r="AF324" s="31">
        <f t="shared" si="446"/>
        <v>0</v>
      </c>
      <c r="AG324" s="31">
        <f t="shared" si="447"/>
        <v>0</v>
      </c>
      <c r="AH324" s="26"/>
      <c r="AI324" s="17">
        <f t="shared" si="448"/>
        <v>0</v>
      </c>
      <c r="AJ324" s="17">
        <f t="shared" si="449"/>
        <v>0</v>
      </c>
      <c r="AK324" s="17">
        <f t="shared" si="450"/>
        <v>0</v>
      </c>
      <c r="AM324" s="31">
        <v>21</v>
      </c>
      <c r="AN324" s="31">
        <f>G324*0.891461649782923</f>
        <v>0</v>
      </c>
      <c r="AO324" s="31">
        <f>G324*(1-0.891461649782923)</f>
        <v>0</v>
      </c>
      <c r="AP324" s="27" t="s">
        <v>13</v>
      </c>
      <c r="AU324" s="31">
        <f t="shared" si="451"/>
        <v>0</v>
      </c>
      <c r="AV324" s="31">
        <f t="shared" si="452"/>
        <v>0</v>
      </c>
      <c r="AW324" s="31">
        <f t="shared" si="453"/>
        <v>0</v>
      </c>
      <c r="AX324" s="32" t="s">
        <v>1189</v>
      </c>
      <c r="AY324" s="32" t="s">
        <v>1212</v>
      </c>
      <c r="AZ324" s="26" t="s">
        <v>1215</v>
      </c>
      <c r="BB324" s="31">
        <f t="shared" si="454"/>
        <v>0</v>
      </c>
      <c r="BC324" s="31">
        <f t="shared" si="455"/>
        <v>0</v>
      </c>
      <c r="BD324" s="31">
        <v>0</v>
      </c>
      <c r="BE324" s="31">
        <f t="shared" si="456"/>
        <v>0</v>
      </c>
      <c r="BG324" s="17">
        <f t="shared" si="457"/>
        <v>0</v>
      </c>
      <c r="BH324" s="17">
        <f t="shared" si="458"/>
        <v>0</v>
      </c>
      <c r="BI324" s="17">
        <f t="shared" si="459"/>
        <v>0</v>
      </c>
    </row>
    <row r="325" spans="1:61" ht="12.75">
      <c r="A325" s="4" t="s">
        <v>283</v>
      </c>
      <c r="B325" s="4"/>
      <c r="C325" s="4" t="s">
        <v>643</v>
      </c>
      <c r="D325" s="71" t="s">
        <v>1019</v>
      </c>
      <c r="E325" s="4" t="s">
        <v>1125</v>
      </c>
      <c r="F325" s="17">
        <v>1</v>
      </c>
      <c r="G325" s="148">
        <v>0</v>
      </c>
      <c r="H325" s="17">
        <f t="shared" si="436"/>
        <v>0</v>
      </c>
      <c r="I325" s="17">
        <f t="shared" si="437"/>
        <v>0</v>
      </c>
      <c r="J325" s="17">
        <f t="shared" si="438"/>
        <v>0</v>
      </c>
      <c r="K325" s="17">
        <v>0</v>
      </c>
      <c r="L325" s="17">
        <f t="shared" si="439"/>
        <v>0</v>
      </c>
      <c r="Y325" s="31">
        <f t="shared" si="440"/>
        <v>0</v>
      </c>
      <c r="AA325" s="31">
        <f t="shared" si="441"/>
        <v>0</v>
      </c>
      <c r="AB325" s="31">
        <f t="shared" si="442"/>
        <v>0</v>
      </c>
      <c r="AC325" s="31">
        <f t="shared" si="443"/>
        <v>0</v>
      </c>
      <c r="AD325" s="31">
        <f t="shared" si="444"/>
        <v>0</v>
      </c>
      <c r="AE325" s="31">
        <f t="shared" si="445"/>
        <v>0</v>
      </c>
      <c r="AF325" s="31">
        <f t="shared" si="446"/>
        <v>0</v>
      </c>
      <c r="AG325" s="31">
        <f t="shared" si="447"/>
        <v>0</v>
      </c>
      <c r="AH325" s="26"/>
      <c r="AI325" s="17">
        <f t="shared" si="448"/>
        <v>0</v>
      </c>
      <c r="AJ325" s="17">
        <f t="shared" si="449"/>
        <v>0</v>
      </c>
      <c r="AK325" s="17">
        <f t="shared" si="450"/>
        <v>0</v>
      </c>
      <c r="AM325" s="31">
        <v>21</v>
      </c>
      <c r="AN325" s="31">
        <f>G325*0.912026040292074</f>
        <v>0</v>
      </c>
      <c r="AO325" s="31">
        <f>G325*(1-0.912026040292074)</f>
        <v>0</v>
      </c>
      <c r="AP325" s="27" t="s">
        <v>13</v>
      </c>
      <c r="AU325" s="31">
        <f t="shared" si="451"/>
        <v>0</v>
      </c>
      <c r="AV325" s="31">
        <f t="shared" si="452"/>
        <v>0</v>
      </c>
      <c r="AW325" s="31">
        <f t="shared" si="453"/>
        <v>0</v>
      </c>
      <c r="AX325" s="32" t="s">
        <v>1189</v>
      </c>
      <c r="AY325" s="32" t="s">
        <v>1212</v>
      </c>
      <c r="AZ325" s="26" t="s">
        <v>1215</v>
      </c>
      <c r="BB325" s="31">
        <f t="shared" si="454"/>
        <v>0</v>
      </c>
      <c r="BC325" s="31">
        <f t="shared" si="455"/>
        <v>0</v>
      </c>
      <c r="BD325" s="31">
        <v>0</v>
      </c>
      <c r="BE325" s="31">
        <f t="shared" si="456"/>
        <v>0</v>
      </c>
      <c r="BG325" s="17">
        <f t="shared" si="457"/>
        <v>0</v>
      </c>
      <c r="BH325" s="17">
        <f t="shared" si="458"/>
        <v>0</v>
      </c>
      <c r="BI325" s="17">
        <f t="shared" si="459"/>
        <v>0</v>
      </c>
    </row>
    <row r="326" spans="1:61" ht="12.75">
      <c r="A326" s="4" t="s">
        <v>284</v>
      </c>
      <c r="B326" s="4"/>
      <c r="C326" s="4" t="s">
        <v>644</v>
      </c>
      <c r="D326" s="71" t="s">
        <v>1020</v>
      </c>
      <c r="E326" s="4" t="s">
        <v>1125</v>
      </c>
      <c r="F326" s="17">
        <v>1</v>
      </c>
      <c r="G326" s="148">
        <v>0</v>
      </c>
      <c r="H326" s="17">
        <f t="shared" si="436"/>
        <v>0</v>
      </c>
      <c r="I326" s="17">
        <f t="shared" si="437"/>
        <v>0</v>
      </c>
      <c r="J326" s="17">
        <f t="shared" si="438"/>
        <v>0</v>
      </c>
      <c r="K326" s="17">
        <v>0</v>
      </c>
      <c r="L326" s="17">
        <f t="shared" si="439"/>
        <v>0</v>
      </c>
      <c r="Y326" s="31">
        <f t="shared" si="440"/>
        <v>0</v>
      </c>
      <c r="AA326" s="31">
        <f t="shared" si="441"/>
        <v>0</v>
      </c>
      <c r="AB326" s="31">
        <f t="shared" si="442"/>
        <v>0</v>
      </c>
      <c r="AC326" s="31">
        <f t="shared" si="443"/>
        <v>0</v>
      </c>
      <c r="AD326" s="31">
        <f t="shared" si="444"/>
        <v>0</v>
      </c>
      <c r="AE326" s="31">
        <f t="shared" si="445"/>
        <v>0</v>
      </c>
      <c r="AF326" s="31">
        <f t="shared" si="446"/>
        <v>0</v>
      </c>
      <c r="AG326" s="31">
        <f t="shared" si="447"/>
        <v>0</v>
      </c>
      <c r="AH326" s="26"/>
      <c r="AI326" s="17">
        <f t="shared" si="448"/>
        <v>0</v>
      </c>
      <c r="AJ326" s="17">
        <f t="shared" si="449"/>
        <v>0</v>
      </c>
      <c r="AK326" s="17">
        <f t="shared" si="450"/>
        <v>0</v>
      </c>
      <c r="AM326" s="31">
        <v>21</v>
      </c>
      <c r="AN326" s="31">
        <f>G326*0.890811814161708</f>
        <v>0</v>
      </c>
      <c r="AO326" s="31">
        <f>G326*(1-0.890811814161708)</f>
        <v>0</v>
      </c>
      <c r="AP326" s="27" t="s">
        <v>13</v>
      </c>
      <c r="AU326" s="31">
        <f t="shared" si="451"/>
        <v>0</v>
      </c>
      <c r="AV326" s="31">
        <f t="shared" si="452"/>
        <v>0</v>
      </c>
      <c r="AW326" s="31">
        <f t="shared" si="453"/>
        <v>0</v>
      </c>
      <c r="AX326" s="32" t="s">
        <v>1189</v>
      </c>
      <c r="AY326" s="32" t="s">
        <v>1212</v>
      </c>
      <c r="AZ326" s="26" t="s">
        <v>1215</v>
      </c>
      <c r="BB326" s="31">
        <f t="shared" si="454"/>
        <v>0</v>
      </c>
      <c r="BC326" s="31">
        <f t="shared" si="455"/>
        <v>0</v>
      </c>
      <c r="BD326" s="31">
        <v>0</v>
      </c>
      <c r="BE326" s="31">
        <f t="shared" si="456"/>
        <v>0</v>
      </c>
      <c r="BG326" s="17">
        <f t="shared" si="457"/>
        <v>0</v>
      </c>
      <c r="BH326" s="17">
        <f t="shared" si="458"/>
        <v>0</v>
      </c>
      <c r="BI326" s="17">
        <f t="shared" si="459"/>
        <v>0</v>
      </c>
    </row>
    <row r="327" spans="1:61" ht="12.75">
      <c r="A327" s="4" t="s">
        <v>285</v>
      </c>
      <c r="B327" s="4"/>
      <c r="C327" s="4" t="s">
        <v>645</v>
      </c>
      <c r="D327" s="71" t="s">
        <v>1021</v>
      </c>
      <c r="E327" s="4" t="s">
        <v>1125</v>
      </c>
      <c r="F327" s="17">
        <v>1</v>
      </c>
      <c r="G327" s="148">
        <v>0</v>
      </c>
      <c r="H327" s="17">
        <f t="shared" si="436"/>
        <v>0</v>
      </c>
      <c r="I327" s="17">
        <f t="shared" si="437"/>
        <v>0</v>
      </c>
      <c r="J327" s="17">
        <f t="shared" si="438"/>
        <v>0</v>
      </c>
      <c r="K327" s="17">
        <v>0</v>
      </c>
      <c r="L327" s="17">
        <f t="shared" si="439"/>
        <v>0</v>
      </c>
      <c r="Y327" s="31">
        <f t="shared" si="440"/>
        <v>0</v>
      </c>
      <c r="AA327" s="31">
        <f t="shared" si="441"/>
        <v>0</v>
      </c>
      <c r="AB327" s="31">
        <f t="shared" si="442"/>
        <v>0</v>
      </c>
      <c r="AC327" s="31">
        <f t="shared" si="443"/>
        <v>0</v>
      </c>
      <c r="AD327" s="31">
        <f t="shared" si="444"/>
        <v>0</v>
      </c>
      <c r="AE327" s="31">
        <f t="shared" si="445"/>
        <v>0</v>
      </c>
      <c r="AF327" s="31">
        <f t="shared" si="446"/>
        <v>0</v>
      </c>
      <c r="AG327" s="31">
        <f t="shared" si="447"/>
        <v>0</v>
      </c>
      <c r="AH327" s="26"/>
      <c r="AI327" s="17">
        <f t="shared" si="448"/>
        <v>0</v>
      </c>
      <c r="AJ327" s="17">
        <f t="shared" si="449"/>
        <v>0</v>
      </c>
      <c r="AK327" s="17">
        <f t="shared" si="450"/>
        <v>0</v>
      </c>
      <c r="AM327" s="31">
        <v>21</v>
      </c>
      <c r="AN327" s="31">
        <f>G327*0.951835083325306</f>
        <v>0</v>
      </c>
      <c r="AO327" s="31">
        <f>G327*(1-0.951835083325306)</f>
        <v>0</v>
      </c>
      <c r="AP327" s="27" t="s">
        <v>13</v>
      </c>
      <c r="AU327" s="31">
        <f t="shared" si="451"/>
        <v>0</v>
      </c>
      <c r="AV327" s="31">
        <f t="shared" si="452"/>
        <v>0</v>
      </c>
      <c r="AW327" s="31">
        <f t="shared" si="453"/>
        <v>0</v>
      </c>
      <c r="AX327" s="32" t="s">
        <v>1189</v>
      </c>
      <c r="AY327" s="32" t="s">
        <v>1212</v>
      </c>
      <c r="AZ327" s="26" t="s">
        <v>1215</v>
      </c>
      <c r="BB327" s="31">
        <f t="shared" si="454"/>
        <v>0</v>
      </c>
      <c r="BC327" s="31">
        <f t="shared" si="455"/>
        <v>0</v>
      </c>
      <c r="BD327" s="31">
        <v>0</v>
      </c>
      <c r="BE327" s="31">
        <f t="shared" si="456"/>
        <v>0</v>
      </c>
      <c r="BG327" s="17">
        <f t="shared" si="457"/>
        <v>0</v>
      </c>
      <c r="BH327" s="17">
        <f t="shared" si="458"/>
        <v>0</v>
      </c>
      <c r="BI327" s="17">
        <f t="shared" si="459"/>
        <v>0</v>
      </c>
    </row>
    <row r="328" spans="1:61" ht="12.75">
      <c r="A328" s="4" t="s">
        <v>286</v>
      </c>
      <c r="B328" s="4"/>
      <c r="C328" s="4" t="s">
        <v>646</v>
      </c>
      <c r="D328" s="71" t="s">
        <v>1022</v>
      </c>
      <c r="E328" s="4" t="s">
        <v>1125</v>
      </c>
      <c r="F328" s="17">
        <v>1</v>
      </c>
      <c r="G328" s="148">
        <v>0</v>
      </c>
      <c r="H328" s="17">
        <f t="shared" si="436"/>
        <v>0</v>
      </c>
      <c r="I328" s="17">
        <f t="shared" si="437"/>
        <v>0</v>
      </c>
      <c r="J328" s="17">
        <f t="shared" si="438"/>
        <v>0</v>
      </c>
      <c r="K328" s="17">
        <v>0</v>
      </c>
      <c r="L328" s="17">
        <f t="shared" si="439"/>
        <v>0</v>
      </c>
      <c r="Y328" s="31">
        <f t="shared" si="440"/>
        <v>0</v>
      </c>
      <c r="AA328" s="31">
        <f t="shared" si="441"/>
        <v>0</v>
      </c>
      <c r="AB328" s="31">
        <f t="shared" si="442"/>
        <v>0</v>
      </c>
      <c r="AC328" s="31">
        <f t="shared" si="443"/>
        <v>0</v>
      </c>
      <c r="AD328" s="31">
        <f t="shared" si="444"/>
        <v>0</v>
      </c>
      <c r="AE328" s="31">
        <f t="shared" si="445"/>
        <v>0</v>
      </c>
      <c r="AF328" s="31">
        <f t="shared" si="446"/>
        <v>0</v>
      </c>
      <c r="AG328" s="31">
        <f t="shared" si="447"/>
        <v>0</v>
      </c>
      <c r="AH328" s="26"/>
      <c r="AI328" s="17">
        <f t="shared" si="448"/>
        <v>0</v>
      </c>
      <c r="AJ328" s="17">
        <f t="shared" si="449"/>
        <v>0</v>
      </c>
      <c r="AK328" s="17">
        <f t="shared" si="450"/>
        <v>0</v>
      </c>
      <c r="AM328" s="31">
        <v>21</v>
      </c>
      <c r="AN328" s="31">
        <f>G328*0.86130374479889</f>
        <v>0</v>
      </c>
      <c r="AO328" s="31">
        <f>G328*(1-0.86130374479889)</f>
        <v>0</v>
      </c>
      <c r="AP328" s="27" t="s">
        <v>13</v>
      </c>
      <c r="AU328" s="31">
        <f t="shared" si="451"/>
        <v>0</v>
      </c>
      <c r="AV328" s="31">
        <f t="shared" si="452"/>
        <v>0</v>
      </c>
      <c r="AW328" s="31">
        <f t="shared" si="453"/>
        <v>0</v>
      </c>
      <c r="AX328" s="32" t="s">
        <v>1189</v>
      </c>
      <c r="AY328" s="32" t="s">
        <v>1212</v>
      </c>
      <c r="AZ328" s="26" t="s">
        <v>1215</v>
      </c>
      <c r="BB328" s="31">
        <f t="shared" si="454"/>
        <v>0</v>
      </c>
      <c r="BC328" s="31">
        <f t="shared" si="455"/>
        <v>0</v>
      </c>
      <c r="BD328" s="31">
        <v>0</v>
      </c>
      <c r="BE328" s="31">
        <f t="shared" si="456"/>
        <v>0</v>
      </c>
      <c r="BG328" s="17">
        <f t="shared" si="457"/>
        <v>0</v>
      </c>
      <c r="BH328" s="17">
        <f t="shared" si="458"/>
        <v>0</v>
      </c>
      <c r="BI328" s="17">
        <f t="shared" si="459"/>
        <v>0</v>
      </c>
    </row>
    <row r="329" spans="1:61" ht="12.75">
      <c r="A329" s="4" t="s">
        <v>287</v>
      </c>
      <c r="B329" s="4"/>
      <c r="C329" s="4" t="s">
        <v>647</v>
      </c>
      <c r="D329" s="71" t="s">
        <v>1023</v>
      </c>
      <c r="E329" s="4" t="s">
        <v>1125</v>
      </c>
      <c r="F329" s="17">
        <v>1</v>
      </c>
      <c r="G329" s="148">
        <v>0</v>
      </c>
      <c r="H329" s="17">
        <f t="shared" si="436"/>
        <v>0</v>
      </c>
      <c r="I329" s="17">
        <f t="shared" si="437"/>
        <v>0</v>
      </c>
      <c r="J329" s="17">
        <f t="shared" si="438"/>
        <v>0</v>
      </c>
      <c r="K329" s="17">
        <v>0</v>
      </c>
      <c r="L329" s="17">
        <f t="shared" si="439"/>
        <v>0</v>
      </c>
      <c r="Y329" s="31">
        <f t="shared" si="440"/>
        <v>0</v>
      </c>
      <c r="AA329" s="31">
        <f t="shared" si="441"/>
        <v>0</v>
      </c>
      <c r="AB329" s="31">
        <f t="shared" si="442"/>
        <v>0</v>
      </c>
      <c r="AC329" s="31">
        <f t="shared" si="443"/>
        <v>0</v>
      </c>
      <c r="AD329" s="31">
        <f t="shared" si="444"/>
        <v>0</v>
      </c>
      <c r="AE329" s="31">
        <f t="shared" si="445"/>
        <v>0</v>
      </c>
      <c r="AF329" s="31">
        <f t="shared" si="446"/>
        <v>0</v>
      </c>
      <c r="AG329" s="31">
        <f t="shared" si="447"/>
        <v>0</v>
      </c>
      <c r="AH329" s="26"/>
      <c r="AI329" s="17">
        <f t="shared" si="448"/>
        <v>0</v>
      </c>
      <c r="AJ329" s="17">
        <f t="shared" si="449"/>
        <v>0</v>
      </c>
      <c r="AK329" s="17">
        <f t="shared" si="450"/>
        <v>0</v>
      </c>
      <c r="AM329" s="31">
        <v>21</v>
      </c>
      <c r="AN329" s="31">
        <f>G329*0.944123672937232</f>
        <v>0</v>
      </c>
      <c r="AO329" s="31">
        <f>G329*(1-0.944123672937232)</f>
        <v>0</v>
      </c>
      <c r="AP329" s="27" t="s">
        <v>13</v>
      </c>
      <c r="AU329" s="31">
        <f t="shared" si="451"/>
        <v>0</v>
      </c>
      <c r="AV329" s="31">
        <f t="shared" si="452"/>
        <v>0</v>
      </c>
      <c r="AW329" s="31">
        <f t="shared" si="453"/>
        <v>0</v>
      </c>
      <c r="AX329" s="32" t="s">
        <v>1189</v>
      </c>
      <c r="AY329" s="32" t="s">
        <v>1212</v>
      </c>
      <c r="AZ329" s="26" t="s">
        <v>1215</v>
      </c>
      <c r="BB329" s="31">
        <f t="shared" si="454"/>
        <v>0</v>
      </c>
      <c r="BC329" s="31">
        <f t="shared" si="455"/>
        <v>0</v>
      </c>
      <c r="BD329" s="31">
        <v>0</v>
      </c>
      <c r="BE329" s="31">
        <f t="shared" si="456"/>
        <v>0</v>
      </c>
      <c r="BG329" s="17">
        <f t="shared" si="457"/>
        <v>0</v>
      </c>
      <c r="BH329" s="17">
        <f t="shared" si="458"/>
        <v>0</v>
      </c>
      <c r="BI329" s="17">
        <f t="shared" si="459"/>
        <v>0</v>
      </c>
    </row>
    <row r="330" spans="1:61" ht="12.75">
      <c r="A330" s="4" t="s">
        <v>288</v>
      </c>
      <c r="B330" s="4"/>
      <c r="C330" s="4" t="s">
        <v>648</v>
      </c>
      <c r="D330" s="71" t="s">
        <v>1024</v>
      </c>
      <c r="E330" s="4" t="s">
        <v>1125</v>
      </c>
      <c r="F330" s="17">
        <v>1</v>
      </c>
      <c r="G330" s="148">
        <v>0</v>
      </c>
      <c r="H330" s="17">
        <f t="shared" si="436"/>
        <v>0</v>
      </c>
      <c r="I330" s="17">
        <f t="shared" si="437"/>
        <v>0</v>
      </c>
      <c r="J330" s="17">
        <f t="shared" si="438"/>
        <v>0</v>
      </c>
      <c r="K330" s="17">
        <v>0</v>
      </c>
      <c r="L330" s="17">
        <f t="shared" si="439"/>
        <v>0</v>
      </c>
      <c r="Y330" s="31">
        <f t="shared" si="440"/>
        <v>0</v>
      </c>
      <c r="AA330" s="31">
        <f t="shared" si="441"/>
        <v>0</v>
      </c>
      <c r="AB330" s="31">
        <f t="shared" si="442"/>
        <v>0</v>
      </c>
      <c r="AC330" s="31">
        <f t="shared" si="443"/>
        <v>0</v>
      </c>
      <c r="AD330" s="31">
        <f t="shared" si="444"/>
        <v>0</v>
      </c>
      <c r="AE330" s="31">
        <f t="shared" si="445"/>
        <v>0</v>
      </c>
      <c r="AF330" s="31">
        <f t="shared" si="446"/>
        <v>0</v>
      </c>
      <c r="AG330" s="31">
        <f t="shared" si="447"/>
        <v>0</v>
      </c>
      <c r="AH330" s="26"/>
      <c r="AI330" s="17">
        <f t="shared" si="448"/>
        <v>0</v>
      </c>
      <c r="AJ330" s="17">
        <f t="shared" si="449"/>
        <v>0</v>
      </c>
      <c r="AK330" s="17">
        <f t="shared" si="450"/>
        <v>0</v>
      </c>
      <c r="AM330" s="31">
        <v>21</v>
      </c>
      <c r="AN330" s="31">
        <f>G330*0.948100477475607</f>
        <v>0</v>
      </c>
      <c r="AO330" s="31">
        <f>G330*(1-0.948100477475607)</f>
        <v>0</v>
      </c>
      <c r="AP330" s="27" t="s">
        <v>13</v>
      </c>
      <c r="AU330" s="31">
        <f t="shared" si="451"/>
        <v>0</v>
      </c>
      <c r="AV330" s="31">
        <f t="shared" si="452"/>
        <v>0</v>
      </c>
      <c r="AW330" s="31">
        <f t="shared" si="453"/>
        <v>0</v>
      </c>
      <c r="AX330" s="32" t="s">
        <v>1189</v>
      </c>
      <c r="AY330" s="32" t="s">
        <v>1212</v>
      </c>
      <c r="AZ330" s="26" t="s">
        <v>1215</v>
      </c>
      <c r="BB330" s="31">
        <f t="shared" si="454"/>
        <v>0</v>
      </c>
      <c r="BC330" s="31">
        <f t="shared" si="455"/>
        <v>0</v>
      </c>
      <c r="BD330" s="31">
        <v>0</v>
      </c>
      <c r="BE330" s="31">
        <f t="shared" si="456"/>
        <v>0</v>
      </c>
      <c r="BG330" s="17">
        <f t="shared" si="457"/>
        <v>0</v>
      </c>
      <c r="BH330" s="17">
        <f t="shared" si="458"/>
        <v>0</v>
      </c>
      <c r="BI330" s="17">
        <f t="shared" si="459"/>
        <v>0</v>
      </c>
    </row>
    <row r="331" spans="1:61" ht="12.75">
      <c r="A331" s="4" t="s">
        <v>289</v>
      </c>
      <c r="B331" s="4"/>
      <c r="C331" s="4" t="s">
        <v>649</v>
      </c>
      <c r="D331" s="71" t="s">
        <v>1025</v>
      </c>
      <c r="E331" s="4" t="s">
        <v>1125</v>
      </c>
      <c r="F331" s="17">
        <v>1</v>
      </c>
      <c r="G331" s="148">
        <v>0</v>
      </c>
      <c r="H331" s="17">
        <f t="shared" si="436"/>
        <v>0</v>
      </c>
      <c r="I331" s="17">
        <f t="shared" si="437"/>
        <v>0</v>
      </c>
      <c r="J331" s="17">
        <f t="shared" si="438"/>
        <v>0</v>
      </c>
      <c r="K331" s="17">
        <v>0</v>
      </c>
      <c r="L331" s="17">
        <f t="shared" si="439"/>
        <v>0</v>
      </c>
      <c r="Y331" s="31">
        <f t="shared" si="440"/>
        <v>0</v>
      </c>
      <c r="AA331" s="31">
        <f t="shared" si="441"/>
        <v>0</v>
      </c>
      <c r="AB331" s="31">
        <f t="shared" si="442"/>
        <v>0</v>
      </c>
      <c r="AC331" s="31">
        <f t="shared" si="443"/>
        <v>0</v>
      </c>
      <c r="AD331" s="31">
        <f t="shared" si="444"/>
        <v>0</v>
      </c>
      <c r="AE331" s="31">
        <f t="shared" si="445"/>
        <v>0</v>
      </c>
      <c r="AF331" s="31">
        <f t="shared" si="446"/>
        <v>0</v>
      </c>
      <c r="AG331" s="31">
        <f t="shared" si="447"/>
        <v>0</v>
      </c>
      <c r="AH331" s="26"/>
      <c r="AI331" s="17">
        <f t="shared" si="448"/>
        <v>0</v>
      </c>
      <c r="AJ331" s="17">
        <f t="shared" si="449"/>
        <v>0</v>
      </c>
      <c r="AK331" s="17">
        <f t="shared" si="450"/>
        <v>0</v>
      </c>
      <c r="AM331" s="31">
        <v>21</v>
      </c>
      <c r="AN331" s="31">
        <f>G331*1</f>
        <v>0</v>
      </c>
      <c r="AO331" s="31">
        <f>G331*(1-1)</f>
        <v>0</v>
      </c>
      <c r="AP331" s="27" t="s">
        <v>13</v>
      </c>
      <c r="AU331" s="31">
        <f t="shared" si="451"/>
        <v>0</v>
      </c>
      <c r="AV331" s="31">
        <f t="shared" si="452"/>
        <v>0</v>
      </c>
      <c r="AW331" s="31">
        <f t="shared" si="453"/>
        <v>0</v>
      </c>
      <c r="AX331" s="32" t="s">
        <v>1189</v>
      </c>
      <c r="AY331" s="32" t="s">
        <v>1212</v>
      </c>
      <c r="AZ331" s="26" t="s">
        <v>1215</v>
      </c>
      <c r="BB331" s="31">
        <f t="shared" si="454"/>
        <v>0</v>
      </c>
      <c r="BC331" s="31">
        <f t="shared" si="455"/>
        <v>0</v>
      </c>
      <c r="BD331" s="31">
        <v>0</v>
      </c>
      <c r="BE331" s="31">
        <f t="shared" si="456"/>
        <v>0</v>
      </c>
      <c r="BG331" s="17">
        <f t="shared" si="457"/>
        <v>0</v>
      </c>
      <c r="BH331" s="17">
        <f t="shared" si="458"/>
        <v>0</v>
      </c>
      <c r="BI331" s="17">
        <f t="shared" si="459"/>
        <v>0</v>
      </c>
    </row>
    <row r="332" spans="1:61" ht="12.75">
      <c r="A332" s="4" t="s">
        <v>290</v>
      </c>
      <c r="B332" s="4"/>
      <c r="C332" s="4" t="s">
        <v>650</v>
      </c>
      <c r="D332" s="71" t="s">
        <v>1026</v>
      </c>
      <c r="E332" s="4" t="s">
        <v>1125</v>
      </c>
      <c r="F332" s="17">
        <v>1</v>
      </c>
      <c r="G332" s="148">
        <v>0</v>
      </c>
      <c r="H332" s="17">
        <f t="shared" si="436"/>
        <v>0</v>
      </c>
      <c r="I332" s="17">
        <f t="shared" si="437"/>
        <v>0</v>
      </c>
      <c r="J332" s="17">
        <f t="shared" si="438"/>
        <v>0</v>
      </c>
      <c r="K332" s="17">
        <v>0</v>
      </c>
      <c r="L332" s="17">
        <f t="shared" si="439"/>
        <v>0</v>
      </c>
      <c r="Y332" s="31">
        <f t="shared" si="440"/>
        <v>0</v>
      </c>
      <c r="AA332" s="31">
        <f t="shared" si="441"/>
        <v>0</v>
      </c>
      <c r="AB332" s="31">
        <f t="shared" si="442"/>
        <v>0</v>
      </c>
      <c r="AC332" s="31">
        <f t="shared" si="443"/>
        <v>0</v>
      </c>
      <c r="AD332" s="31">
        <f t="shared" si="444"/>
        <v>0</v>
      </c>
      <c r="AE332" s="31">
        <f t="shared" si="445"/>
        <v>0</v>
      </c>
      <c r="AF332" s="31">
        <f t="shared" si="446"/>
        <v>0</v>
      </c>
      <c r="AG332" s="31">
        <f t="shared" si="447"/>
        <v>0</v>
      </c>
      <c r="AH332" s="26"/>
      <c r="AI332" s="17">
        <f t="shared" si="448"/>
        <v>0</v>
      </c>
      <c r="AJ332" s="17">
        <f t="shared" si="449"/>
        <v>0</v>
      </c>
      <c r="AK332" s="17">
        <f t="shared" si="450"/>
        <v>0</v>
      </c>
      <c r="AM332" s="31">
        <v>21</v>
      </c>
      <c r="AN332" s="31">
        <f>G332*0.909090909090909</f>
        <v>0</v>
      </c>
      <c r="AO332" s="31">
        <f>G332*(1-0.909090909090909)</f>
        <v>0</v>
      </c>
      <c r="AP332" s="27" t="s">
        <v>13</v>
      </c>
      <c r="AU332" s="31">
        <f t="shared" si="451"/>
        <v>0</v>
      </c>
      <c r="AV332" s="31">
        <f t="shared" si="452"/>
        <v>0</v>
      </c>
      <c r="AW332" s="31">
        <f t="shared" si="453"/>
        <v>0</v>
      </c>
      <c r="AX332" s="32" t="s">
        <v>1189</v>
      </c>
      <c r="AY332" s="32" t="s">
        <v>1212</v>
      </c>
      <c r="AZ332" s="26" t="s">
        <v>1215</v>
      </c>
      <c r="BB332" s="31">
        <f t="shared" si="454"/>
        <v>0</v>
      </c>
      <c r="BC332" s="31">
        <f t="shared" si="455"/>
        <v>0</v>
      </c>
      <c r="BD332" s="31">
        <v>0</v>
      </c>
      <c r="BE332" s="31">
        <f t="shared" si="456"/>
        <v>0</v>
      </c>
      <c r="BG332" s="17">
        <f t="shared" si="457"/>
        <v>0</v>
      </c>
      <c r="BH332" s="17">
        <f t="shared" si="458"/>
        <v>0</v>
      </c>
      <c r="BI332" s="17">
        <f t="shared" si="459"/>
        <v>0</v>
      </c>
    </row>
    <row r="333" spans="1:61" ht="25.5">
      <c r="A333" s="4" t="s">
        <v>291</v>
      </c>
      <c r="B333" s="4"/>
      <c r="C333" s="4" t="s">
        <v>651</v>
      </c>
      <c r="D333" s="71" t="s">
        <v>1027</v>
      </c>
      <c r="E333" s="4" t="s">
        <v>1125</v>
      </c>
      <c r="F333" s="17">
        <v>1</v>
      </c>
      <c r="G333" s="148">
        <v>0</v>
      </c>
      <c r="H333" s="17">
        <f t="shared" si="436"/>
        <v>0</v>
      </c>
      <c r="I333" s="17">
        <f t="shared" si="437"/>
        <v>0</v>
      </c>
      <c r="J333" s="17">
        <f t="shared" si="438"/>
        <v>0</v>
      </c>
      <c r="K333" s="17">
        <v>0</v>
      </c>
      <c r="L333" s="17">
        <f t="shared" si="439"/>
        <v>0</v>
      </c>
      <c r="Y333" s="31">
        <f t="shared" si="440"/>
        <v>0</v>
      </c>
      <c r="AA333" s="31">
        <f t="shared" si="441"/>
        <v>0</v>
      </c>
      <c r="AB333" s="31">
        <f t="shared" si="442"/>
        <v>0</v>
      </c>
      <c r="AC333" s="31">
        <f t="shared" si="443"/>
        <v>0</v>
      </c>
      <c r="AD333" s="31">
        <f t="shared" si="444"/>
        <v>0</v>
      </c>
      <c r="AE333" s="31">
        <f t="shared" si="445"/>
        <v>0</v>
      </c>
      <c r="AF333" s="31">
        <f t="shared" si="446"/>
        <v>0</v>
      </c>
      <c r="AG333" s="31">
        <f t="shared" si="447"/>
        <v>0</v>
      </c>
      <c r="AH333" s="26"/>
      <c r="AI333" s="17">
        <f t="shared" si="448"/>
        <v>0</v>
      </c>
      <c r="AJ333" s="17">
        <f t="shared" si="449"/>
        <v>0</v>
      </c>
      <c r="AK333" s="17">
        <f t="shared" si="450"/>
        <v>0</v>
      </c>
      <c r="AM333" s="31">
        <v>21</v>
      </c>
      <c r="AN333" s="31">
        <f>G333*0.592592592592593</f>
        <v>0</v>
      </c>
      <c r="AO333" s="31">
        <f>G333*(1-0.592592592592593)</f>
        <v>0</v>
      </c>
      <c r="AP333" s="27" t="s">
        <v>13</v>
      </c>
      <c r="AU333" s="31">
        <f t="shared" si="451"/>
        <v>0</v>
      </c>
      <c r="AV333" s="31">
        <f t="shared" si="452"/>
        <v>0</v>
      </c>
      <c r="AW333" s="31">
        <f t="shared" si="453"/>
        <v>0</v>
      </c>
      <c r="AX333" s="32" t="s">
        <v>1189</v>
      </c>
      <c r="AY333" s="32" t="s">
        <v>1212</v>
      </c>
      <c r="AZ333" s="26" t="s">
        <v>1215</v>
      </c>
      <c r="BB333" s="31">
        <f t="shared" si="454"/>
        <v>0</v>
      </c>
      <c r="BC333" s="31">
        <f t="shared" si="455"/>
        <v>0</v>
      </c>
      <c r="BD333" s="31">
        <v>0</v>
      </c>
      <c r="BE333" s="31">
        <f t="shared" si="456"/>
        <v>0</v>
      </c>
      <c r="BG333" s="17">
        <f t="shared" si="457"/>
        <v>0</v>
      </c>
      <c r="BH333" s="17">
        <f t="shared" si="458"/>
        <v>0</v>
      </c>
      <c r="BI333" s="17">
        <f t="shared" si="459"/>
        <v>0</v>
      </c>
    </row>
    <row r="334" spans="1:46" ht="12.75">
      <c r="A334" s="6"/>
      <c r="B334" s="13"/>
      <c r="C334" s="13" t="s">
        <v>95</v>
      </c>
      <c r="D334" s="73" t="s">
        <v>1028</v>
      </c>
      <c r="E334" s="6" t="s">
        <v>6</v>
      </c>
      <c r="F334" s="6" t="s">
        <v>6</v>
      </c>
      <c r="G334" s="151" t="s">
        <v>6</v>
      </c>
      <c r="H334" s="34">
        <f>SUM(H335:H336)</f>
        <v>0</v>
      </c>
      <c r="I334" s="34">
        <f>SUM(I335:I336)</f>
        <v>0</v>
      </c>
      <c r="J334" s="34">
        <f>SUM(J335:J336)</f>
        <v>0</v>
      </c>
      <c r="K334" s="26"/>
      <c r="L334" s="34">
        <f>SUM(L335:L336)</f>
        <v>4.79248</v>
      </c>
      <c r="AH334" s="26"/>
      <c r="AR334" s="34">
        <f>SUM(AI335:AI336)</f>
        <v>0</v>
      </c>
      <c r="AS334" s="34">
        <f>SUM(AJ335:AJ336)</f>
        <v>0</v>
      </c>
      <c r="AT334" s="34">
        <f>SUM(AK335:AK336)</f>
        <v>0</v>
      </c>
    </row>
    <row r="335" spans="1:61" ht="12.75">
      <c r="A335" s="4" t="s">
        <v>292</v>
      </c>
      <c r="B335" s="4"/>
      <c r="C335" s="4" t="s">
        <v>652</v>
      </c>
      <c r="D335" s="71" t="s">
        <v>1029</v>
      </c>
      <c r="E335" s="4" t="s">
        <v>1120</v>
      </c>
      <c r="F335" s="17">
        <v>1</v>
      </c>
      <c r="G335" s="148">
        <v>0</v>
      </c>
      <c r="H335" s="17">
        <f>F335*AN335</f>
        <v>0</v>
      </c>
      <c r="I335" s="17">
        <f>F335*AO335</f>
        <v>0</v>
      </c>
      <c r="J335" s="17">
        <f>F335*G335</f>
        <v>0</v>
      </c>
      <c r="K335" s="17">
        <v>4.28366</v>
      </c>
      <c r="L335" s="17">
        <f>F335*K335</f>
        <v>4.28366</v>
      </c>
      <c r="Y335" s="31">
        <f>IF(AP335="5",BI335,0)</f>
        <v>0</v>
      </c>
      <c r="AA335" s="31">
        <f>IF(AP335="1",BG335,0)</f>
        <v>0</v>
      </c>
      <c r="AB335" s="31">
        <f>IF(AP335="1",BH335,0)</f>
        <v>0</v>
      </c>
      <c r="AC335" s="31">
        <f>IF(AP335="7",BG335,0)</f>
        <v>0</v>
      </c>
      <c r="AD335" s="31">
        <f>IF(AP335="7",BH335,0)</f>
        <v>0</v>
      </c>
      <c r="AE335" s="31">
        <f>IF(AP335="2",BG335,0)</f>
        <v>0</v>
      </c>
      <c r="AF335" s="31">
        <f>IF(AP335="2",BH335,0)</f>
        <v>0</v>
      </c>
      <c r="AG335" s="31">
        <f>IF(AP335="0",BI335,0)</f>
        <v>0</v>
      </c>
      <c r="AH335" s="26"/>
      <c r="AI335" s="17">
        <f>IF(AM335=0,J335,0)</f>
        <v>0</v>
      </c>
      <c r="AJ335" s="17">
        <f>IF(AM335=15,J335,0)</f>
        <v>0</v>
      </c>
      <c r="AK335" s="17">
        <f>IF(AM335=21,J335,0)</f>
        <v>0</v>
      </c>
      <c r="AM335" s="31">
        <v>21</v>
      </c>
      <c r="AN335" s="31">
        <f>G335*0.47185326357548</f>
        <v>0</v>
      </c>
      <c r="AO335" s="31">
        <f>G335*(1-0.47185326357548)</f>
        <v>0</v>
      </c>
      <c r="AP335" s="27" t="s">
        <v>7</v>
      </c>
      <c r="AU335" s="31">
        <f>AV335+AW335</f>
        <v>0</v>
      </c>
      <c r="AV335" s="31">
        <f>F335*AN335</f>
        <v>0</v>
      </c>
      <c r="AW335" s="31">
        <f>F335*AO335</f>
        <v>0</v>
      </c>
      <c r="AX335" s="32" t="s">
        <v>1190</v>
      </c>
      <c r="AY335" s="32" t="s">
        <v>1213</v>
      </c>
      <c r="AZ335" s="26" t="s">
        <v>1215</v>
      </c>
      <c r="BB335" s="31">
        <f>AV335+AW335</f>
        <v>0</v>
      </c>
      <c r="BC335" s="31">
        <f>G335/(100-BD335)*100</f>
        <v>0</v>
      </c>
      <c r="BD335" s="31">
        <v>0</v>
      </c>
      <c r="BE335" s="31">
        <f>L335</f>
        <v>4.28366</v>
      </c>
      <c r="BG335" s="17">
        <f>F335*AN335</f>
        <v>0</v>
      </c>
      <c r="BH335" s="17">
        <f>F335*AO335</f>
        <v>0</v>
      </c>
      <c r="BI335" s="17">
        <f>F335*G335</f>
        <v>0</v>
      </c>
    </row>
    <row r="336" spans="1:61" ht="38.25">
      <c r="A336" s="4" t="s">
        <v>293</v>
      </c>
      <c r="B336" s="4"/>
      <c r="C336" s="4" t="s">
        <v>653</v>
      </c>
      <c r="D336" s="71" t="s">
        <v>1030</v>
      </c>
      <c r="E336" s="4" t="s">
        <v>1120</v>
      </c>
      <c r="F336" s="17">
        <v>1</v>
      </c>
      <c r="G336" s="148">
        <v>0</v>
      </c>
      <c r="H336" s="17">
        <f>F336*AN336</f>
        <v>0</v>
      </c>
      <c r="I336" s="17">
        <f>F336*AO336</f>
        <v>0</v>
      </c>
      <c r="J336" s="17">
        <f>F336*G336</f>
        <v>0</v>
      </c>
      <c r="K336" s="17">
        <v>0.50882</v>
      </c>
      <c r="L336" s="17">
        <f>F336*K336</f>
        <v>0.50882</v>
      </c>
      <c r="Y336" s="31">
        <f>IF(AP336="5",BI336,0)</f>
        <v>0</v>
      </c>
      <c r="AA336" s="31">
        <f>IF(AP336="1",BG336,0)</f>
        <v>0</v>
      </c>
      <c r="AB336" s="31">
        <f>IF(AP336="1",BH336,0)</f>
        <v>0</v>
      </c>
      <c r="AC336" s="31">
        <f>IF(AP336="7",BG336,0)</f>
        <v>0</v>
      </c>
      <c r="AD336" s="31">
        <f>IF(AP336="7",BH336,0)</f>
        <v>0</v>
      </c>
      <c r="AE336" s="31">
        <f>IF(AP336="2",BG336,0)</f>
        <v>0</v>
      </c>
      <c r="AF336" s="31">
        <f>IF(AP336="2",BH336,0)</f>
        <v>0</v>
      </c>
      <c r="AG336" s="31">
        <f>IF(AP336="0",BI336,0)</f>
        <v>0</v>
      </c>
      <c r="AH336" s="26"/>
      <c r="AI336" s="17">
        <f>IF(AM336=0,J336,0)</f>
        <v>0</v>
      </c>
      <c r="AJ336" s="17">
        <f>IF(AM336=15,J336,0)</f>
        <v>0</v>
      </c>
      <c r="AK336" s="17">
        <f>IF(AM336=21,J336,0)</f>
        <v>0</v>
      </c>
      <c r="AM336" s="31">
        <v>21</v>
      </c>
      <c r="AN336" s="31">
        <f>G336*0.964791772794009</f>
        <v>0</v>
      </c>
      <c r="AO336" s="31">
        <f>G336*(1-0.964791772794009)</f>
        <v>0</v>
      </c>
      <c r="AP336" s="27" t="s">
        <v>7</v>
      </c>
      <c r="AU336" s="31">
        <f>AV336+AW336</f>
        <v>0</v>
      </c>
      <c r="AV336" s="31">
        <f>F336*AN336</f>
        <v>0</v>
      </c>
      <c r="AW336" s="31">
        <f>F336*AO336</f>
        <v>0</v>
      </c>
      <c r="AX336" s="32" t="s">
        <v>1190</v>
      </c>
      <c r="AY336" s="32" t="s">
        <v>1213</v>
      </c>
      <c r="AZ336" s="26" t="s">
        <v>1215</v>
      </c>
      <c r="BB336" s="31">
        <f>AV336+AW336</f>
        <v>0</v>
      </c>
      <c r="BC336" s="31">
        <f>G336/(100-BD336)*100</f>
        <v>0</v>
      </c>
      <c r="BD336" s="31">
        <v>0</v>
      </c>
      <c r="BE336" s="31">
        <f>L336</f>
        <v>0.50882</v>
      </c>
      <c r="BG336" s="17">
        <f>F336*AN336</f>
        <v>0</v>
      </c>
      <c r="BH336" s="17">
        <f>F336*AO336</f>
        <v>0</v>
      </c>
      <c r="BI336" s="17">
        <f>F336*G336</f>
        <v>0</v>
      </c>
    </row>
    <row r="337" spans="1:46" ht="12.75">
      <c r="A337" s="6"/>
      <c r="B337" s="13"/>
      <c r="C337" s="13" t="s">
        <v>96</v>
      </c>
      <c r="D337" s="73" t="s">
        <v>1305</v>
      </c>
      <c r="E337" s="6" t="s">
        <v>6</v>
      </c>
      <c r="F337" s="6" t="s">
        <v>6</v>
      </c>
      <c r="G337" s="151" t="s">
        <v>6</v>
      </c>
      <c r="H337" s="34">
        <f>SUM(H338:H341)</f>
        <v>0</v>
      </c>
      <c r="I337" s="34">
        <f>SUM(I338:I341)</f>
        <v>0</v>
      </c>
      <c r="J337" s="34">
        <f>SUM(J338:J341)</f>
        <v>0</v>
      </c>
      <c r="K337" s="26"/>
      <c r="L337" s="34">
        <f>SUM(L338:L341)</f>
        <v>5.676510000000001</v>
      </c>
      <c r="AH337" s="26"/>
      <c r="AR337" s="34">
        <f>SUM(AI338:AI341)</f>
        <v>0</v>
      </c>
      <c r="AS337" s="34">
        <f>SUM(AJ338:AJ341)</f>
        <v>0</v>
      </c>
      <c r="AT337" s="34">
        <f>SUM(AK338:AK341)</f>
        <v>0</v>
      </c>
    </row>
    <row r="338" spans="1:61" ht="25.5">
      <c r="A338" s="4" t="s">
        <v>294</v>
      </c>
      <c r="B338" s="4"/>
      <c r="C338" s="4" t="s">
        <v>654</v>
      </c>
      <c r="D338" s="71" t="s">
        <v>1031</v>
      </c>
      <c r="E338" s="4" t="s">
        <v>1123</v>
      </c>
      <c r="F338" s="17">
        <v>50</v>
      </c>
      <c r="G338" s="148">
        <v>0</v>
      </c>
      <c r="H338" s="17">
        <f>F338*AN338</f>
        <v>0</v>
      </c>
      <c r="I338" s="17">
        <f>F338*AO338</f>
        <v>0</v>
      </c>
      <c r="J338" s="17">
        <f>F338*G338</f>
        <v>0</v>
      </c>
      <c r="K338" s="17">
        <v>0.08541</v>
      </c>
      <c r="L338" s="17">
        <f>F338*K338</f>
        <v>4.2705</v>
      </c>
      <c r="Y338" s="31">
        <f>IF(AP338="5",BI338,0)</f>
        <v>0</v>
      </c>
      <c r="AA338" s="31">
        <f>IF(AP338="1",BG338,0)</f>
        <v>0</v>
      </c>
      <c r="AB338" s="31">
        <f>IF(AP338="1",BH338,0)</f>
        <v>0</v>
      </c>
      <c r="AC338" s="31">
        <f>IF(AP338="7",BG338,0)</f>
        <v>0</v>
      </c>
      <c r="AD338" s="31">
        <f>IF(AP338="7",BH338,0)</f>
        <v>0</v>
      </c>
      <c r="AE338" s="31">
        <f>IF(AP338="2",BG338,0)</f>
        <v>0</v>
      </c>
      <c r="AF338" s="31">
        <f>IF(AP338="2",BH338,0)</f>
        <v>0</v>
      </c>
      <c r="AG338" s="31">
        <f>IF(AP338="0",BI338,0)</f>
        <v>0</v>
      </c>
      <c r="AH338" s="26"/>
      <c r="AI338" s="17">
        <f>IF(AM338=0,J338,0)</f>
        <v>0</v>
      </c>
      <c r="AJ338" s="17">
        <f>IF(AM338=15,J338,0)</f>
        <v>0</v>
      </c>
      <c r="AK338" s="17">
        <f>IF(AM338=21,J338,0)</f>
        <v>0</v>
      </c>
      <c r="AM338" s="31">
        <v>21</v>
      </c>
      <c r="AN338" s="31">
        <f>G338*0.473743219509666</f>
        <v>0</v>
      </c>
      <c r="AO338" s="31">
        <f>G338*(1-0.473743219509666)</f>
        <v>0</v>
      </c>
      <c r="AP338" s="27" t="s">
        <v>7</v>
      </c>
      <c r="AU338" s="31">
        <f>AV338+AW338</f>
        <v>0</v>
      </c>
      <c r="AV338" s="31">
        <f>F338*AN338</f>
        <v>0</v>
      </c>
      <c r="AW338" s="31">
        <f>F338*AO338</f>
        <v>0</v>
      </c>
      <c r="AX338" s="32" t="s">
        <v>1191</v>
      </c>
      <c r="AY338" s="32" t="s">
        <v>1214</v>
      </c>
      <c r="AZ338" s="26" t="s">
        <v>1215</v>
      </c>
      <c r="BB338" s="31">
        <f>AV338+AW338</f>
        <v>0</v>
      </c>
      <c r="BC338" s="31">
        <f>G338/(100-BD338)*100</f>
        <v>0</v>
      </c>
      <c r="BD338" s="31">
        <v>0</v>
      </c>
      <c r="BE338" s="31">
        <f>L338</f>
        <v>4.2705</v>
      </c>
      <c r="BG338" s="17">
        <f>F338*AN338</f>
        <v>0</v>
      </c>
      <c r="BH338" s="17">
        <f>F338*AO338</f>
        <v>0</v>
      </c>
      <c r="BI338" s="17">
        <f>F338*G338</f>
        <v>0</v>
      </c>
    </row>
    <row r="339" spans="1:61" ht="12.75">
      <c r="A339" s="4" t="s">
        <v>1295</v>
      </c>
      <c r="B339" s="4"/>
      <c r="C339" s="4" t="s">
        <v>1299</v>
      </c>
      <c r="D339" s="71" t="s">
        <v>1297</v>
      </c>
      <c r="E339" s="4" t="s">
        <v>1126</v>
      </c>
      <c r="F339" s="17">
        <v>9</v>
      </c>
      <c r="G339" s="148">
        <v>0</v>
      </c>
      <c r="H339" s="17">
        <f>F339*AN339</f>
        <v>0</v>
      </c>
      <c r="I339" s="17">
        <f>F339*AO339</f>
        <v>0</v>
      </c>
      <c r="J339" s="17">
        <f>F339*G339</f>
        <v>0</v>
      </c>
      <c r="K339" s="17">
        <v>0.08541</v>
      </c>
      <c r="L339" s="17">
        <f>F339*K339</f>
        <v>0.76869</v>
      </c>
      <c r="Y339" s="31">
        <f>IF(AP339="5",BI339,0)</f>
        <v>0</v>
      </c>
      <c r="AA339" s="31">
        <f>IF(AP339="1",BG339,0)</f>
        <v>0</v>
      </c>
      <c r="AB339" s="31">
        <f>IF(AP339="1",BH339,0)</f>
        <v>0</v>
      </c>
      <c r="AC339" s="31">
        <f>IF(AP339="7",BG339,0)</f>
        <v>0</v>
      </c>
      <c r="AD339" s="31">
        <f>IF(AP339="7",BH339,0)</f>
        <v>0</v>
      </c>
      <c r="AE339" s="31">
        <f>IF(AP339="2",BG339,0)</f>
        <v>0</v>
      </c>
      <c r="AF339" s="31">
        <f>IF(AP339="2",BH339,0)</f>
        <v>0</v>
      </c>
      <c r="AG339" s="31">
        <f>IF(AP339="0",BI339,0)</f>
        <v>0</v>
      </c>
      <c r="AH339" s="26"/>
      <c r="AI339" s="17">
        <f>IF(AM339=0,J339,0)</f>
        <v>0</v>
      </c>
      <c r="AJ339" s="17">
        <f>IF(AM339=15,J339,0)</f>
        <v>0</v>
      </c>
      <c r="AK339" s="17">
        <f>IF(AM339=21,J339,0)</f>
        <v>0</v>
      </c>
      <c r="AM339" s="31">
        <v>21</v>
      </c>
      <c r="AN339" s="31">
        <f>G339*0.85</f>
        <v>0</v>
      </c>
      <c r="AO339" s="31">
        <f>G339*(1-0.85)</f>
        <v>0</v>
      </c>
      <c r="AP339" s="27" t="s">
        <v>7</v>
      </c>
      <c r="AU339" s="31">
        <f>AV339+AW339</f>
        <v>0</v>
      </c>
      <c r="AV339" s="31">
        <f>F339*AN339</f>
        <v>0</v>
      </c>
      <c r="AW339" s="31">
        <f>F339*AO339</f>
        <v>0</v>
      </c>
      <c r="AX339" s="32" t="s">
        <v>1191</v>
      </c>
      <c r="AY339" s="32" t="s">
        <v>1214</v>
      </c>
      <c r="AZ339" s="26" t="s">
        <v>1215</v>
      </c>
      <c r="BB339" s="31">
        <f>AV339+AW339</f>
        <v>0</v>
      </c>
      <c r="BC339" s="31">
        <f>G339/(100-BD339)*100</f>
        <v>0</v>
      </c>
      <c r="BD339" s="31">
        <v>0</v>
      </c>
      <c r="BE339" s="31">
        <f>L339</f>
        <v>0.76869</v>
      </c>
      <c r="BG339" s="17">
        <f>F339*AN339</f>
        <v>0</v>
      </c>
      <c r="BH339" s="17">
        <f>F339*AO339</f>
        <v>0</v>
      </c>
      <c r="BI339" s="17">
        <f>F339*G339</f>
        <v>0</v>
      </c>
    </row>
    <row r="340" spans="1:61" ht="12.75">
      <c r="A340" s="4" t="s">
        <v>1296</v>
      </c>
      <c r="B340" s="4"/>
      <c r="C340" s="4" t="s">
        <v>1300</v>
      </c>
      <c r="D340" s="71" t="s">
        <v>1298</v>
      </c>
      <c r="E340" s="4" t="s">
        <v>1125</v>
      </c>
      <c r="F340" s="17">
        <v>1</v>
      </c>
      <c r="G340" s="148">
        <v>0</v>
      </c>
      <c r="H340" s="17">
        <f>F340*AN340</f>
        <v>0</v>
      </c>
      <c r="I340" s="17">
        <f>F340*AO340</f>
        <v>0</v>
      </c>
      <c r="J340" s="17">
        <f>F340*G340</f>
        <v>0</v>
      </c>
      <c r="K340" s="17">
        <v>0.08541</v>
      </c>
      <c r="L340" s="17">
        <f>F340*K340</f>
        <v>0.08541</v>
      </c>
      <c r="Y340" s="31">
        <f>IF(AP340="5",BI340,0)</f>
        <v>0</v>
      </c>
      <c r="AA340" s="31">
        <f>IF(AP340="1",BG340,0)</f>
        <v>0</v>
      </c>
      <c r="AB340" s="31">
        <f>IF(AP340="1",BH340,0)</f>
        <v>0</v>
      </c>
      <c r="AC340" s="31">
        <f>IF(AP340="7",BG340,0)</f>
        <v>0</v>
      </c>
      <c r="AD340" s="31">
        <f>IF(AP340="7",BH340,0)</f>
        <v>0</v>
      </c>
      <c r="AE340" s="31">
        <f>IF(AP340="2",BG340,0)</f>
        <v>0</v>
      </c>
      <c r="AF340" s="31">
        <f>IF(AP340="2",BH340,0)</f>
        <v>0</v>
      </c>
      <c r="AG340" s="31">
        <f>IF(AP340="0",BI340,0)</f>
        <v>0</v>
      </c>
      <c r="AH340" s="26"/>
      <c r="AI340" s="17">
        <f>IF(AM340=0,J340,0)</f>
        <v>0</v>
      </c>
      <c r="AJ340" s="17">
        <f>IF(AM340=15,J340,0)</f>
        <v>0</v>
      </c>
      <c r="AK340" s="17">
        <f>IF(AM340=21,J340,0)</f>
        <v>0</v>
      </c>
      <c r="AM340" s="31">
        <v>21</v>
      </c>
      <c r="AN340" s="31">
        <f>G340*0.75</f>
        <v>0</v>
      </c>
      <c r="AO340" s="31">
        <f>G340*(1-0.75)</f>
        <v>0</v>
      </c>
      <c r="AP340" s="27" t="s">
        <v>7</v>
      </c>
      <c r="AU340" s="31">
        <f>AV340+AW340</f>
        <v>0</v>
      </c>
      <c r="AV340" s="31">
        <f>F340*AN340</f>
        <v>0</v>
      </c>
      <c r="AW340" s="31">
        <f>F340*AO340</f>
        <v>0</v>
      </c>
      <c r="AX340" s="32" t="s">
        <v>1191</v>
      </c>
      <c r="AY340" s="32" t="s">
        <v>1214</v>
      </c>
      <c r="AZ340" s="26" t="s">
        <v>1215</v>
      </c>
      <c r="BB340" s="31">
        <f>AV340+AW340</f>
        <v>0</v>
      </c>
      <c r="BC340" s="31">
        <f>G340/(100-BD340)*100</f>
        <v>0</v>
      </c>
      <c r="BD340" s="31">
        <v>0</v>
      </c>
      <c r="BE340" s="31">
        <f>L340</f>
        <v>0.08541</v>
      </c>
      <c r="BG340" s="17">
        <f>F340*AN340</f>
        <v>0</v>
      </c>
      <c r="BH340" s="17">
        <f>F340*AO340</f>
        <v>0</v>
      </c>
      <c r="BI340" s="17">
        <f>F340*G340</f>
        <v>0</v>
      </c>
    </row>
    <row r="341" spans="1:61" ht="12.75">
      <c r="A341" s="4" t="s">
        <v>295</v>
      </c>
      <c r="B341" s="4"/>
      <c r="C341" s="4" t="s">
        <v>655</v>
      </c>
      <c r="D341" s="71" t="s">
        <v>1032</v>
      </c>
      <c r="E341" s="4" t="s">
        <v>1125</v>
      </c>
      <c r="F341" s="17">
        <v>1</v>
      </c>
      <c r="G341" s="148">
        <v>0</v>
      </c>
      <c r="H341" s="17">
        <f>F341*AN341</f>
        <v>0</v>
      </c>
      <c r="I341" s="17">
        <f>F341*AO341</f>
        <v>0</v>
      </c>
      <c r="J341" s="17">
        <f>F341*G341</f>
        <v>0</v>
      </c>
      <c r="K341" s="17">
        <v>0.55191</v>
      </c>
      <c r="L341" s="17">
        <f>F341*K341</f>
        <v>0.55191</v>
      </c>
      <c r="Y341" s="31">
        <f>IF(AP341="5",BI341,0)</f>
        <v>0</v>
      </c>
      <c r="AA341" s="31">
        <f>IF(AP341="1",BG341,0)</f>
        <v>0</v>
      </c>
      <c r="AB341" s="31">
        <f>IF(AP341="1",BH341,0)</f>
        <v>0</v>
      </c>
      <c r="AC341" s="31">
        <f>IF(AP341="7",BG341,0)</f>
        <v>0</v>
      </c>
      <c r="AD341" s="31">
        <f>IF(AP341="7",BH341,0)</f>
        <v>0</v>
      </c>
      <c r="AE341" s="31">
        <f>IF(AP341="2",BG341,0)</f>
        <v>0</v>
      </c>
      <c r="AF341" s="31">
        <f>IF(AP341="2",BH341,0)</f>
        <v>0</v>
      </c>
      <c r="AG341" s="31">
        <f>IF(AP341="0",BI341,0)</f>
        <v>0</v>
      </c>
      <c r="AH341" s="26"/>
      <c r="AI341" s="17">
        <f>IF(AM341=0,J341,0)</f>
        <v>0</v>
      </c>
      <c r="AJ341" s="17">
        <f>IF(AM341=15,J341,0)</f>
        <v>0</v>
      </c>
      <c r="AK341" s="17">
        <f>IF(AM341=21,J341,0)</f>
        <v>0</v>
      </c>
      <c r="AM341" s="31">
        <v>21</v>
      </c>
      <c r="AN341" s="31">
        <f>G341*0.452488687782805</f>
        <v>0</v>
      </c>
      <c r="AO341" s="31">
        <f>G341*(1-0.452488687782805)</f>
        <v>0</v>
      </c>
      <c r="AP341" s="27" t="s">
        <v>7</v>
      </c>
      <c r="AU341" s="31">
        <f>AV341+AW341</f>
        <v>0</v>
      </c>
      <c r="AV341" s="31">
        <f>F341*AN341</f>
        <v>0</v>
      </c>
      <c r="AW341" s="31">
        <f>F341*AO341</f>
        <v>0</v>
      </c>
      <c r="AX341" s="32" t="s">
        <v>1191</v>
      </c>
      <c r="AY341" s="32" t="s">
        <v>1214</v>
      </c>
      <c r="AZ341" s="26" t="s">
        <v>1215</v>
      </c>
      <c r="BB341" s="31">
        <f>AV341+AW341</f>
        <v>0</v>
      </c>
      <c r="BC341" s="31">
        <f>G341/(100-BD341)*100</f>
        <v>0</v>
      </c>
      <c r="BD341" s="31">
        <v>0</v>
      </c>
      <c r="BE341" s="31">
        <f>L341</f>
        <v>0.55191</v>
      </c>
      <c r="BG341" s="17">
        <f>F341*AN341</f>
        <v>0</v>
      </c>
      <c r="BH341" s="17">
        <f>F341*AO341</f>
        <v>0</v>
      </c>
      <c r="BI341" s="17">
        <f>F341*G341</f>
        <v>0</v>
      </c>
    </row>
    <row r="342" spans="1:46" ht="12.75">
      <c r="A342" s="6"/>
      <c r="B342" s="13"/>
      <c r="C342" s="13" t="s">
        <v>100</v>
      </c>
      <c r="D342" s="73" t="s">
        <v>1033</v>
      </c>
      <c r="E342" s="6" t="s">
        <v>6</v>
      </c>
      <c r="F342" s="6" t="s">
        <v>6</v>
      </c>
      <c r="G342" s="151" t="s">
        <v>6</v>
      </c>
      <c r="H342" s="34">
        <f>SUM(H343:H347)</f>
        <v>0</v>
      </c>
      <c r="I342" s="34">
        <f>SUM(I343:I347)</f>
        <v>0</v>
      </c>
      <c r="J342" s="34">
        <f>SUM(J343:J347)</f>
        <v>0</v>
      </c>
      <c r="K342" s="26"/>
      <c r="L342" s="34">
        <f>SUM(L343:L347)</f>
        <v>12.42226125</v>
      </c>
      <c r="AH342" s="26"/>
      <c r="AR342" s="34">
        <f>SUM(AI343:AI347)</f>
        <v>0</v>
      </c>
      <c r="AS342" s="34">
        <f>SUM(AJ343:AJ347)</f>
        <v>0</v>
      </c>
      <c r="AT342" s="34">
        <f>SUM(AK343:AK347)</f>
        <v>0</v>
      </c>
    </row>
    <row r="343" spans="1:61" ht="12.75">
      <c r="A343" s="4" t="s">
        <v>296</v>
      </c>
      <c r="B343" s="4"/>
      <c r="C343" s="4" t="s">
        <v>656</v>
      </c>
      <c r="D343" s="71" t="s">
        <v>1034</v>
      </c>
      <c r="E343" s="4" t="s">
        <v>1121</v>
      </c>
      <c r="F343" s="17">
        <v>499.5</v>
      </c>
      <c r="G343" s="148">
        <v>0</v>
      </c>
      <c r="H343" s="17">
        <f>F343*AN343</f>
        <v>0</v>
      </c>
      <c r="I343" s="17">
        <f>F343*AO343</f>
        <v>0</v>
      </c>
      <c r="J343" s="17">
        <f>F343*G343</f>
        <v>0</v>
      </c>
      <c r="K343" s="17">
        <v>0.01838</v>
      </c>
      <c r="L343" s="17">
        <f>F343*K343</f>
        <v>9.180810000000001</v>
      </c>
      <c r="Y343" s="31">
        <f>IF(AP343="5",BI343,0)</f>
        <v>0</v>
      </c>
      <c r="AA343" s="31">
        <f>IF(AP343="1",BG343,0)</f>
        <v>0</v>
      </c>
      <c r="AB343" s="31">
        <f>IF(AP343="1",BH343,0)</f>
        <v>0</v>
      </c>
      <c r="AC343" s="31">
        <f>IF(AP343="7",BG343,0)</f>
        <v>0</v>
      </c>
      <c r="AD343" s="31">
        <f>IF(AP343="7",BH343,0)</f>
        <v>0</v>
      </c>
      <c r="AE343" s="31">
        <f>IF(AP343="2",BG343,0)</f>
        <v>0</v>
      </c>
      <c r="AF343" s="31">
        <f>IF(AP343="2",BH343,0)</f>
        <v>0</v>
      </c>
      <c r="AG343" s="31">
        <f>IF(AP343="0",BI343,0)</f>
        <v>0</v>
      </c>
      <c r="AH343" s="26"/>
      <c r="AI343" s="17">
        <f>IF(AM343=0,J343,0)</f>
        <v>0</v>
      </c>
      <c r="AJ343" s="17">
        <f>IF(AM343=15,J343,0)</f>
        <v>0</v>
      </c>
      <c r="AK343" s="17">
        <f>IF(AM343=21,J343,0)</f>
        <v>0</v>
      </c>
      <c r="AM343" s="31">
        <v>21</v>
      </c>
      <c r="AN343" s="31">
        <f>G343*0.000447093889716841</f>
        <v>0</v>
      </c>
      <c r="AO343" s="31">
        <f>G343*(1-0.000447093889716841)</f>
        <v>0</v>
      </c>
      <c r="AP343" s="27" t="s">
        <v>7</v>
      </c>
      <c r="AU343" s="31">
        <f>AV343+AW343</f>
        <v>0</v>
      </c>
      <c r="AV343" s="31">
        <f>F343*AN343</f>
        <v>0</v>
      </c>
      <c r="AW343" s="31">
        <f>F343*AO343</f>
        <v>0</v>
      </c>
      <c r="AX343" s="32" t="s">
        <v>1192</v>
      </c>
      <c r="AY343" s="32" t="s">
        <v>1214</v>
      </c>
      <c r="AZ343" s="26" t="s">
        <v>1215</v>
      </c>
      <c r="BB343" s="31">
        <f>AV343+AW343</f>
        <v>0</v>
      </c>
      <c r="BC343" s="31">
        <f>G343/(100-BD343)*100</f>
        <v>0</v>
      </c>
      <c r="BD343" s="31">
        <v>0</v>
      </c>
      <c r="BE343" s="31">
        <f>L343</f>
        <v>9.180810000000001</v>
      </c>
      <c r="BG343" s="17">
        <f>F343*AN343</f>
        <v>0</v>
      </c>
      <c r="BH343" s="17">
        <f>F343*AO343</f>
        <v>0</v>
      </c>
      <c r="BI343" s="17">
        <f>F343*G343</f>
        <v>0</v>
      </c>
    </row>
    <row r="344" spans="1:61" ht="12.75">
      <c r="A344" s="4" t="s">
        <v>297</v>
      </c>
      <c r="B344" s="4"/>
      <c r="C344" s="4" t="s">
        <v>657</v>
      </c>
      <c r="D344" s="71" t="s">
        <v>1035</v>
      </c>
      <c r="E344" s="4" t="s">
        <v>1121</v>
      </c>
      <c r="F344" s="17">
        <v>2000</v>
      </c>
      <c r="G344" s="148">
        <v>0</v>
      </c>
      <c r="H344" s="17">
        <f>F344*AN344</f>
        <v>0</v>
      </c>
      <c r="I344" s="17">
        <f>F344*AO344</f>
        <v>0</v>
      </c>
      <c r="J344" s="17">
        <f>F344*G344</f>
        <v>0</v>
      </c>
      <c r="K344" s="17">
        <v>0.00097</v>
      </c>
      <c r="L344" s="17">
        <f>F344*K344</f>
        <v>1.9400000000000002</v>
      </c>
      <c r="Y344" s="31">
        <f>IF(AP344="5",BI344,0)</f>
        <v>0</v>
      </c>
      <c r="AA344" s="31">
        <f>IF(AP344="1",BG344,0)</f>
        <v>0</v>
      </c>
      <c r="AB344" s="31">
        <f>IF(AP344="1",BH344,0)</f>
        <v>0</v>
      </c>
      <c r="AC344" s="31">
        <f>IF(AP344="7",BG344,0)</f>
        <v>0</v>
      </c>
      <c r="AD344" s="31">
        <f>IF(AP344="7",BH344,0)</f>
        <v>0</v>
      </c>
      <c r="AE344" s="31">
        <f>IF(AP344="2",BG344,0)</f>
        <v>0</v>
      </c>
      <c r="AF344" s="31">
        <f>IF(AP344="2",BH344,0)</f>
        <v>0</v>
      </c>
      <c r="AG344" s="31">
        <f>IF(AP344="0",BI344,0)</f>
        <v>0</v>
      </c>
      <c r="AH344" s="26"/>
      <c r="AI344" s="17">
        <f>IF(AM344=0,J344,0)</f>
        <v>0</v>
      </c>
      <c r="AJ344" s="17">
        <f>IF(AM344=15,J344,0)</f>
        <v>0</v>
      </c>
      <c r="AK344" s="17">
        <f>IF(AM344=21,J344,0)</f>
        <v>0</v>
      </c>
      <c r="AM344" s="31">
        <v>21</v>
      </c>
      <c r="AN344" s="31">
        <f>G344*0.923076923076923</f>
        <v>0</v>
      </c>
      <c r="AO344" s="31">
        <f>G344*(1-0.923076923076923)</f>
        <v>0</v>
      </c>
      <c r="AP344" s="27" t="s">
        <v>7</v>
      </c>
      <c r="AU344" s="31">
        <f>AV344+AW344</f>
        <v>0</v>
      </c>
      <c r="AV344" s="31">
        <f>F344*AN344</f>
        <v>0</v>
      </c>
      <c r="AW344" s="31">
        <f>F344*AO344</f>
        <v>0</v>
      </c>
      <c r="AX344" s="32" t="s">
        <v>1192</v>
      </c>
      <c r="AY344" s="32" t="s">
        <v>1214</v>
      </c>
      <c r="AZ344" s="26" t="s">
        <v>1215</v>
      </c>
      <c r="BB344" s="31">
        <f>AV344+AW344</f>
        <v>0</v>
      </c>
      <c r="BC344" s="31">
        <f>G344/(100-BD344)*100</f>
        <v>0</v>
      </c>
      <c r="BD344" s="31">
        <v>0</v>
      </c>
      <c r="BE344" s="31">
        <f>L344</f>
        <v>1.9400000000000002</v>
      </c>
      <c r="BG344" s="17">
        <f>F344*AN344</f>
        <v>0</v>
      </c>
      <c r="BH344" s="17">
        <f>F344*AO344</f>
        <v>0</v>
      </c>
      <c r="BI344" s="17">
        <f>F344*G344</f>
        <v>0</v>
      </c>
    </row>
    <row r="345" spans="1:61" ht="12.75">
      <c r="A345" s="4" t="s">
        <v>298</v>
      </c>
      <c r="B345" s="4"/>
      <c r="C345" s="4" t="s">
        <v>658</v>
      </c>
      <c r="D345" s="71" t="s">
        <v>1036</v>
      </c>
      <c r="E345" s="4" t="s">
        <v>1121</v>
      </c>
      <c r="F345" s="17">
        <v>92.75</v>
      </c>
      <c r="G345" s="148">
        <v>0</v>
      </c>
      <c r="H345" s="17">
        <f>F345*AN345</f>
        <v>0</v>
      </c>
      <c r="I345" s="17">
        <f>F345*AO345</f>
        <v>0</v>
      </c>
      <c r="J345" s="17">
        <f>F345*G345</f>
        <v>0</v>
      </c>
      <c r="K345" s="17">
        <v>0.00158</v>
      </c>
      <c r="L345" s="17">
        <f>F345*K345</f>
        <v>0.146545</v>
      </c>
      <c r="Y345" s="31">
        <f>IF(AP345="5",BI345,0)</f>
        <v>0</v>
      </c>
      <c r="AA345" s="31">
        <f>IF(AP345="1",BG345,0)</f>
        <v>0</v>
      </c>
      <c r="AB345" s="31">
        <f>IF(AP345="1",BH345,0)</f>
        <v>0</v>
      </c>
      <c r="AC345" s="31">
        <f>IF(AP345="7",BG345,0)</f>
        <v>0</v>
      </c>
      <c r="AD345" s="31">
        <f>IF(AP345="7",BH345,0)</f>
        <v>0</v>
      </c>
      <c r="AE345" s="31">
        <f>IF(AP345="2",BG345,0)</f>
        <v>0</v>
      </c>
      <c r="AF345" s="31">
        <f>IF(AP345="2",BH345,0)</f>
        <v>0</v>
      </c>
      <c r="AG345" s="31">
        <f>IF(AP345="0",BI345,0)</f>
        <v>0</v>
      </c>
      <c r="AH345" s="26"/>
      <c r="AI345" s="17">
        <f>IF(AM345=0,J345,0)</f>
        <v>0</v>
      </c>
      <c r="AJ345" s="17">
        <f>IF(AM345=15,J345,0)</f>
        <v>0</v>
      </c>
      <c r="AK345" s="17">
        <f>IF(AM345=21,J345,0)</f>
        <v>0</v>
      </c>
      <c r="AM345" s="31">
        <v>21</v>
      </c>
      <c r="AN345" s="31">
        <f>G345*0.355789473684211</f>
        <v>0</v>
      </c>
      <c r="AO345" s="31">
        <f>G345*(1-0.355789473684211)</f>
        <v>0</v>
      </c>
      <c r="AP345" s="27" t="s">
        <v>7</v>
      </c>
      <c r="AU345" s="31">
        <f>AV345+AW345</f>
        <v>0</v>
      </c>
      <c r="AV345" s="31">
        <f>F345*AN345</f>
        <v>0</v>
      </c>
      <c r="AW345" s="31">
        <f>F345*AO345</f>
        <v>0</v>
      </c>
      <c r="AX345" s="32" t="s">
        <v>1192</v>
      </c>
      <c r="AY345" s="32" t="s">
        <v>1214</v>
      </c>
      <c r="AZ345" s="26" t="s">
        <v>1215</v>
      </c>
      <c r="BB345" s="31">
        <f>AV345+AW345</f>
        <v>0</v>
      </c>
      <c r="BC345" s="31">
        <f>G345/(100-BD345)*100</f>
        <v>0</v>
      </c>
      <c r="BD345" s="31">
        <v>0</v>
      </c>
      <c r="BE345" s="31">
        <f>L345</f>
        <v>0.146545</v>
      </c>
      <c r="BG345" s="17">
        <f>F345*AN345</f>
        <v>0</v>
      </c>
      <c r="BH345" s="17">
        <f>F345*AO345</f>
        <v>0</v>
      </c>
      <c r="BI345" s="17">
        <f>F345*G345</f>
        <v>0</v>
      </c>
    </row>
    <row r="346" spans="1:61" ht="12.75">
      <c r="A346" s="4" t="s">
        <v>299</v>
      </c>
      <c r="B346" s="4"/>
      <c r="C346" s="4" t="s">
        <v>659</v>
      </c>
      <c r="D346" s="71" t="s">
        <v>1037</v>
      </c>
      <c r="E346" s="4" t="s">
        <v>1121</v>
      </c>
      <c r="F346" s="17">
        <v>499.5</v>
      </c>
      <c r="G346" s="148">
        <v>0</v>
      </c>
      <c r="H346" s="17">
        <f>F346*AN346</f>
        <v>0</v>
      </c>
      <c r="I346" s="17">
        <f>F346*AO346</f>
        <v>0</v>
      </c>
      <c r="J346" s="17">
        <f>F346*G346</f>
        <v>0</v>
      </c>
      <c r="K346" s="17">
        <v>0</v>
      </c>
      <c r="L346" s="17">
        <f>F346*K346</f>
        <v>0</v>
      </c>
      <c r="Y346" s="31">
        <f>IF(AP346="5",BI346,0)</f>
        <v>0</v>
      </c>
      <c r="AA346" s="31">
        <f>IF(AP346="1",BG346,0)</f>
        <v>0</v>
      </c>
      <c r="AB346" s="31">
        <f>IF(AP346="1",BH346,0)</f>
        <v>0</v>
      </c>
      <c r="AC346" s="31">
        <f>IF(AP346="7",BG346,0)</f>
        <v>0</v>
      </c>
      <c r="AD346" s="31">
        <f>IF(AP346="7",BH346,0)</f>
        <v>0</v>
      </c>
      <c r="AE346" s="31">
        <f>IF(AP346="2",BG346,0)</f>
        <v>0</v>
      </c>
      <c r="AF346" s="31">
        <f>IF(AP346="2",BH346,0)</f>
        <v>0</v>
      </c>
      <c r="AG346" s="31">
        <f>IF(AP346="0",BI346,0)</f>
        <v>0</v>
      </c>
      <c r="AH346" s="26"/>
      <c r="AI346" s="17">
        <f>IF(AM346=0,J346,0)</f>
        <v>0</v>
      </c>
      <c r="AJ346" s="17">
        <f>IF(AM346=15,J346,0)</f>
        <v>0</v>
      </c>
      <c r="AK346" s="17">
        <f>IF(AM346=21,J346,0)</f>
        <v>0</v>
      </c>
      <c r="AM346" s="31">
        <v>21</v>
      </c>
      <c r="AN346" s="31">
        <f>G346*0</f>
        <v>0</v>
      </c>
      <c r="AO346" s="31">
        <f>G346*(1-0)</f>
        <v>0</v>
      </c>
      <c r="AP346" s="27" t="s">
        <v>7</v>
      </c>
      <c r="AU346" s="31">
        <f>AV346+AW346</f>
        <v>0</v>
      </c>
      <c r="AV346" s="31">
        <f>F346*AN346</f>
        <v>0</v>
      </c>
      <c r="AW346" s="31">
        <f>F346*AO346</f>
        <v>0</v>
      </c>
      <c r="AX346" s="32" t="s">
        <v>1192</v>
      </c>
      <c r="AY346" s="32" t="s">
        <v>1214</v>
      </c>
      <c r="AZ346" s="26" t="s">
        <v>1215</v>
      </c>
      <c r="BB346" s="31">
        <f>AV346+AW346</f>
        <v>0</v>
      </c>
      <c r="BC346" s="31">
        <f>G346/(100-BD346)*100</f>
        <v>0</v>
      </c>
      <c r="BD346" s="31">
        <v>0</v>
      </c>
      <c r="BE346" s="31">
        <f>L346</f>
        <v>0</v>
      </c>
      <c r="BG346" s="17">
        <f>F346*AN346</f>
        <v>0</v>
      </c>
      <c r="BH346" s="17">
        <f>F346*AO346</f>
        <v>0</v>
      </c>
      <c r="BI346" s="17">
        <f>F346*G346</f>
        <v>0</v>
      </c>
    </row>
    <row r="347" spans="1:61" ht="12.75">
      <c r="A347" s="4" t="s">
        <v>300</v>
      </c>
      <c r="B347" s="4"/>
      <c r="C347" s="4" t="s">
        <v>660</v>
      </c>
      <c r="D347" s="71" t="s">
        <v>1038</v>
      </c>
      <c r="E347" s="4" t="s">
        <v>1121</v>
      </c>
      <c r="F347" s="17">
        <v>181.875</v>
      </c>
      <c r="G347" s="148">
        <v>0</v>
      </c>
      <c r="H347" s="17">
        <f>F347*AN347</f>
        <v>0</v>
      </c>
      <c r="I347" s="17">
        <f>F347*AO347</f>
        <v>0</v>
      </c>
      <c r="J347" s="17">
        <f>F347*G347</f>
        <v>0</v>
      </c>
      <c r="K347" s="17">
        <v>0.00635</v>
      </c>
      <c r="L347" s="17">
        <f>F347*K347</f>
        <v>1.15490625</v>
      </c>
      <c r="Y347" s="31">
        <f>IF(AP347="5",BI347,0)</f>
        <v>0</v>
      </c>
      <c r="AA347" s="31">
        <f>IF(AP347="1",BG347,0)</f>
        <v>0</v>
      </c>
      <c r="AB347" s="31">
        <f>IF(AP347="1",BH347,0)</f>
        <v>0</v>
      </c>
      <c r="AC347" s="31">
        <f>IF(AP347="7",BG347,0)</f>
        <v>0</v>
      </c>
      <c r="AD347" s="31">
        <f>IF(AP347="7",BH347,0)</f>
        <v>0</v>
      </c>
      <c r="AE347" s="31">
        <f>IF(AP347="2",BG347,0)</f>
        <v>0</v>
      </c>
      <c r="AF347" s="31">
        <f>IF(AP347="2",BH347,0)</f>
        <v>0</v>
      </c>
      <c r="AG347" s="31">
        <f>IF(AP347="0",BI347,0)</f>
        <v>0</v>
      </c>
      <c r="AH347" s="26"/>
      <c r="AI347" s="17">
        <f>IF(AM347=0,J347,0)</f>
        <v>0</v>
      </c>
      <c r="AJ347" s="17">
        <f>IF(AM347=15,J347,0)</f>
        <v>0</v>
      </c>
      <c r="AK347" s="17">
        <f>IF(AM347=21,J347,0)</f>
        <v>0</v>
      </c>
      <c r="AM347" s="31">
        <v>21</v>
      </c>
      <c r="AN347" s="31">
        <f>G347*0.439460949006471</f>
        <v>0</v>
      </c>
      <c r="AO347" s="31">
        <f>G347*(1-0.439460949006471)</f>
        <v>0</v>
      </c>
      <c r="AP347" s="27" t="s">
        <v>7</v>
      </c>
      <c r="AU347" s="31">
        <f>AV347+AW347</f>
        <v>0</v>
      </c>
      <c r="AV347" s="31">
        <f>F347*AN347</f>
        <v>0</v>
      </c>
      <c r="AW347" s="31">
        <f>F347*AO347</f>
        <v>0</v>
      </c>
      <c r="AX347" s="32" t="s">
        <v>1192</v>
      </c>
      <c r="AY347" s="32" t="s">
        <v>1214</v>
      </c>
      <c r="AZ347" s="26" t="s">
        <v>1215</v>
      </c>
      <c r="BB347" s="31">
        <f>AV347+AW347</f>
        <v>0</v>
      </c>
      <c r="BC347" s="31">
        <f>G347/(100-BD347)*100</f>
        <v>0</v>
      </c>
      <c r="BD347" s="31">
        <v>0</v>
      </c>
      <c r="BE347" s="31">
        <f>L347</f>
        <v>1.15490625</v>
      </c>
      <c r="BG347" s="17">
        <f>F347*AN347</f>
        <v>0</v>
      </c>
      <c r="BH347" s="17">
        <f>F347*AO347</f>
        <v>0</v>
      </c>
      <c r="BI347" s="17">
        <f>F347*G347</f>
        <v>0</v>
      </c>
    </row>
    <row r="348" spans="1:46" ht="25.5">
      <c r="A348" s="6"/>
      <c r="B348" s="13"/>
      <c r="C348" s="13" t="s">
        <v>101</v>
      </c>
      <c r="D348" s="73" t="s">
        <v>1039</v>
      </c>
      <c r="E348" s="6" t="s">
        <v>6</v>
      </c>
      <c r="F348" s="6" t="s">
        <v>6</v>
      </c>
      <c r="G348" s="151" t="s">
        <v>6</v>
      </c>
      <c r="H348" s="34">
        <f>SUM(H349:H349)</f>
        <v>0</v>
      </c>
      <c r="I348" s="34">
        <f>SUM(I349:I349)</f>
        <v>0</v>
      </c>
      <c r="J348" s="34">
        <f>SUM(J349:J349)</f>
        <v>0</v>
      </c>
      <c r="K348" s="26"/>
      <c r="L348" s="34">
        <f>SUM(L349:L349)</f>
        <v>0.01708</v>
      </c>
      <c r="AH348" s="26"/>
      <c r="AR348" s="34">
        <f>SUM(AI349:AI349)</f>
        <v>0</v>
      </c>
      <c r="AS348" s="34">
        <f>SUM(AJ349:AJ349)</f>
        <v>0</v>
      </c>
      <c r="AT348" s="34">
        <f>SUM(AK349:AK349)</f>
        <v>0</v>
      </c>
    </row>
    <row r="349" spans="1:61" ht="12.75">
      <c r="A349" s="4" t="s">
        <v>301</v>
      </c>
      <c r="B349" s="4"/>
      <c r="C349" s="4" t="s">
        <v>661</v>
      </c>
      <c r="D349" s="71" t="s">
        <v>1040</v>
      </c>
      <c r="E349" s="4" t="s">
        <v>1121</v>
      </c>
      <c r="F349" s="17">
        <v>427</v>
      </c>
      <c r="G349" s="148">
        <v>0</v>
      </c>
      <c r="H349" s="17">
        <f>F349*AN349</f>
        <v>0</v>
      </c>
      <c r="I349" s="17">
        <f>F349*AO349</f>
        <v>0</v>
      </c>
      <c r="J349" s="17">
        <f>F349*G349</f>
        <v>0</v>
      </c>
      <c r="K349" s="17">
        <v>4E-05</v>
      </c>
      <c r="L349" s="17">
        <f>F349*K349</f>
        <v>0.01708</v>
      </c>
      <c r="Y349" s="31">
        <f>IF(AP349="5",BI349,0)</f>
        <v>0</v>
      </c>
      <c r="AA349" s="31">
        <f>IF(AP349="1",BG349,0)</f>
        <v>0</v>
      </c>
      <c r="AB349" s="31">
        <f>IF(AP349="1",BH349,0)</f>
        <v>0</v>
      </c>
      <c r="AC349" s="31">
        <f>IF(AP349="7",BG349,0)</f>
        <v>0</v>
      </c>
      <c r="AD349" s="31">
        <f>IF(AP349="7",BH349,0)</f>
        <v>0</v>
      </c>
      <c r="AE349" s="31">
        <f>IF(AP349="2",BG349,0)</f>
        <v>0</v>
      </c>
      <c r="AF349" s="31">
        <f>IF(AP349="2",BH349,0)</f>
        <v>0</v>
      </c>
      <c r="AG349" s="31">
        <f>IF(AP349="0",BI349,0)</f>
        <v>0</v>
      </c>
      <c r="AH349" s="26"/>
      <c r="AI349" s="17">
        <f>IF(AM349=0,J349,0)</f>
        <v>0</v>
      </c>
      <c r="AJ349" s="17">
        <f>IF(AM349=15,J349,0)</f>
        <v>0</v>
      </c>
      <c r="AK349" s="17">
        <f>IF(AM349=21,J349,0)</f>
        <v>0</v>
      </c>
      <c r="AM349" s="31">
        <v>21</v>
      </c>
      <c r="AN349" s="31">
        <f>G349*0.0107924528301887</f>
        <v>0</v>
      </c>
      <c r="AO349" s="31">
        <f>G349*(1-0.0107924528301887)</f>
        <v>0</v>
      </c>
      <c r="AP349" s="27" t="s">
        <v>7</v>
      </c>
      <c r="AU349" s="31">
        <f>AV349+AW349</f>
        <v>0</v>
      </c>
      <c r="AV349" s="31">
        <f>F349*AN349</f>
        <v>0</v>
      </c>
      <c r="AW349" s="31">
        <f>F349*AO349</f>
        <v>0</v>
      </c>
      <c r="AX349" s="32" t="s">
        <v>1193</v>
      </c>
      <c r="AY349" s="32" t="s">
        <v>1214</v>
      </c>
      <c r="AZ349" s="26" t="s">
        <v>1215</v>
      </c>
      <c r="BB349" s="31">
        <f>AV349+AW349</f>
        <v>0</v>
      </c>
      <c r="BC349" s="31">
        <f>G349/(100-BD349)*100</f>
        <v>0</v>
      </c>
      <c r="BD349" s="31">
        <v>0</v>
      </c>
      <c r="BE349" s="31">
        <f>L349</f>
        <v>0.01708</v>
      </c>
      <c r="BG349" s="17">
        <f>F349*AN349</f>
        <v>0</v>
      </c>
      <c r="BH349" s="17">
        <f>F349*AO349</f>
        <v>0</v>
      </c>
      <c r="BI349" s="17">
        <f>F349*G349</f>
        <v>0</v>
      </c>
    </row>
    <row r="350" spans="1:46" ht="12.75">
      <c r="A350" s="6"/>
      <c r="B350" s="13"/>
      <c r="C350" s="13" t="s">
        <v>102</v>
      </c>
      <c r="D350" s="73" t="s">
        <v>1041</v>
      </c>
      <c r="E350" s="6" t="s">
        <v>6</v>
      </c>
      <c r="F350" s="6" t="s">
        <v>6</v>
      </c>
      <c r="G350" s="151" t="s">
        <v>6</v>
      </c>
      <c r="H350" s="34">
        <f>SUM(H351:H354)</f>
        <v>0</v>
      </c>
      <c r="I350" s="34">
        <f>SUM(I351:I354)</f>
        <v>0</v>
      </c>
      <c r="J350" s="34">
        <f>SUM(J351:J354)</f>
        <v>0</v>
      </c>
      <c r="K350" s="26"/>
      <c r="L350" s="34">
        <f>SUM(L351:L354)</f>
        <v>7.358810000000001</v>
      </c>
      <c r="AH350" s="26"/>
      <c r="AR350" s="34">
        <f>SUM(AI351:AI354)</f>
        <v>0</v>
      </c>
      <c r="AS350" s="34">
        <f>SUM(AJ351:AJ354)</f>
        <v>0</v>
      </c>
      <c r="AT350" s="34">
        <f>SUM(AK351:AK354)</f>
        <v>0</v>
      </c>
    </row>
    <row r="351" spans="1:61" ht="12.75">
      <c r="A351" s="4" t="s">
        <v>302</v>
      </c>
      <c r="B351" s="4"/>
      <c r="C351" s="4" t="s">
        <v>662</v>
      </c>
      <c r="D351" s="71" t="s">
        <v>1042</v>
      </c>
      <c r="E351" s="4" t="s">
        <v>1121</v>
      </c>
      <c r="F351" s="17">
        <v>120.4</v>
      </c>
      <c r="G351" s="148">
        <v>0</v>
      </c>
      <c r="H351" s="17">
        <f>F351*AN351</f>
        <v>0</v>
      </c>
      <c r="I351" s="17">
        <f>F351*AO351</f>
        <v>0</v>
      </c>
      <c r="J351" s="17">
        <f>F351*G351</f>
        <v>0</v>
      </c>
      <c r="K351" s="17">
        <v>0.02</v>
      </c>
      <c r="L351" s="17">
        <f>F351*K351</f>
        <v>2.4080000000000004</v>
      </c>
      <c r="Y351" s="31">
        <f>IF(AP351="5",BI351,0)</f>
        <v>0</v>
      </c>
      <c r="AA351" s="31">
        <f>IF(AP351="1",BG351,0)</f>
        <v>0</v>
      </c>
      <c r="AB351" s="31">
        <f>IF(AP351="1",BH351,0)</f>
        <v>0</v>
      </c>
      <c r="AC351" s="31">
        <f>IF(AP351="7",BG351,0)</f>
        <v>0</v>
      </c>
      <c r="AD351" s="31">
        <f>IF(AP351="7",BH351,0)</f>
        <v>0</v>
      </c>
      <c r="AE351" s="31">
        <f>IF(AP351="2",BG351,0)</f>
        <v>0</v>
      </c>
      <c r="AF351" s="31">
        <f>IF(AP351="2",BH351,0)</f>
        <v>0</v>
      </c>
      <c r="AG351" s="31">
        <f>IF(AP351="0",BI351,0)</f>
        <v>0</v>
      </c>
      <c r="AH351" s="26"/>
      <c r="AI351" s="17">
        <f>IF(AM351=0,J351,0)</f>
        <v>0</v>
      </c>
      <c r="AJ351" s="17">
        <f>IF(AM351=15,J351,0)</f>
        <v>0</v>
      </c>
      <c r="AK351" s="17">
        <f>IF(AM351=21,J351,0)</f>
        <v>0</v>
      </c>
      <c r="AM351" s="31">
        <v>21</v>
      </c>
      <c r="AN351" s="31">
        <f>G351*0</f>
        <v>0</v>
      </c>
      <c r="AO351" s="31">
        <f>G351*(1-0)</f>
        <v>0</v>
      </c>
      <c r="AP351" s="27" t="s">
        <v>7</v>
      </c>
      <c r="AU351" s="31">
        <f>AV351+AW351</f>
        <v>0</v>
      </c>
      <c r="AV351" s="31">
        <f>F351*AN351</f>
        <v>0</v>
      </c>
      <c r="AW351" s="31">
        <f>F351*AO351</f>
        <v>0</v>
      </c>
      <c r="AX351" s="32" t="s">
        <v>1194</v>
      </c>
      <c r="AY351" s="32" t="s">
        <v>1214</v>
      </c>
      <c r="AZ351" s="26" t="s">
        <v>1215</v>
      </c>
      <c r="BA351" s="26" t="s">
        <v>1218</v>
      </c>
      <c r="BB351" s="31">
        <f>AV351+AW351</f>
        <v>0</v>
      </c>
      <c r="BC351" s="31">
        <f>G351/(100-BD351)*100</f>
        <v>0</v>
      </c>
      <c r="BD351" s="31">
        <v>0</v>
      </c>
      <c r="BE351" s="31">
        <f>L351</f>
        <v>2.4080000000000004</v>
      </c>
      <c r="BG351" s="17">
        <f>F351*AN351</f>
        <v>0</v>
      </c>
      <c r="BH351" s="17">
        <f>F351*AO351</f>
        <v>0</v>
      </c>
      <c r="BI351" s="17">
        <f>F351*G351</f>
        <v>0</v>
      </c>
    </row>
    <row r="352" spans="1:61" ht="12.75">
      <c r="A352" s="4" t="s">
        <v>303</v>
      </c>
      <c r="B352" s="4"/>
      <c r="C352" s="4" t="s">
        <v>663</v>
      </c>
      <c r="D352" s="71" t="s">
        <v>1043</v>
      </c>
      <c r="E352" s="4" t="s">
        <v>1127</v>
      </c>
      <c r="F352" s="17">
        <v>13</v>
      </c>
      <c r="G352" s="148">
        <v>0</v>
      </c>
      <c r="H352" s="17">
        <f>F352*AN352</f>
        <v>0</v>
      </c>
      <c r="I352" s="17">
        <f>F352*AO352</f>
        <v>0</v>
      </c>
      <c r="J352" s="17">
        <f>F352*G352</f>
        <v>0</v>
      </c>
      <c r="K352" s="17">
        <v>0.04237</v>
      </c>
      <c r="L352" s="17">
        <f>F352*K352</f>
        <v>0.55081</v>
      </c>
      <c r="Y352" s="31">
        <f>IF(AP352="5",BI352,0)</f>
        <v>0</v>
      </c>
      <c r="AA352" s="31">
        <f>IF(AP352="1",BG352,0)</f>
        <v>0</v>
      </c>
      <c r="AB352" s="31">
        <f>IF(AP352="1",BH352,0)</f>
        <v>0</v>
      </c>
      <c r="AC352" s="31">
        <f>IF(AP352="7",BG352,0)</f>
        <v>0</v>
      </c>
      <c r="AD352" s="31">
        <f>IF(AP352="7",BH352,0)</f>
        <v>0</v>
      </c>
      <c r="AE352" s="31">
        <f>IF(AP352="2",BG352,0)</f>
        <v>0</v>
      </c>
      <c r="AF352" s="31">
        <f>IF(AP352="2",BH352,0)</f>
        <v>0</v>
      </c>
      <c r="AG352" s="31">
        <f>IF(AP352="0",BI352,0)</f>
        <v>0</v>
      </c>
      <c r="AH352" s="26"/>
      <c r="AI352" s="17">
        <f>IF(AM352=0,J352,0)</f>
        <v>0</v>
      </c>
      <c r="AJ352" s="17">
        <f>IF(AM352=15,J352,0)</f>
        <v>0</v>
      </c>
      <c r="AK352" s="17">
        <f>IF(AM352=21,J352,0)</f>
        <v>0</v>
      </c>
      <c r="AM352" s="31">
        <v>21</v>
      </c>
      <c r="AN352" s="31">
        <f>G352*0.142353846153846</f>
        <v>0</v>
      </c>
      <c r="AO352" s="31">
        <f>G352*(1-0.142353846153846)</f>
        <v>0</v>
      </c>
      <c r="AP352" s="27" t="s">
        <v>7</v>
      </c>
      <c r="AU352" s="31">
        <f>AV352+AW352</f>
        <v>0</v>
      </c>
      <c r="AV352" s="31">
        <f>F352*AN352</f>
        <v>0</v>
      </c>
      <c r="AW352" s="31">
        <f>F352*AO352</f>
        <v>0</v>
      </c>
      <c r="AX352" s="32" t="s">
        <v>1194</v>
      </c>
      <c r="AY352" s="32" t="s">
        <v>1214</v>
      </c>
      <c r="AZ352" s="26" t="s">
        <v>1215</v>
      </c>
      <c r="BA352" s="26" t="s">
        <v>1218</v>
      </c>
      <c r="BB352" s="31">
        <f>AV352+AW352</f>
        <v>0</v>
      </c>
      <c r="BC352" s="31">
        <f>G352/(100-BD352)*100</f>
        <v>0</v>
      </c>
      <c r="BD352" s="31">
        <v>0</v>
      </c>
      <c r="BE352" s="31">
        <f>L352</f>
        <v>0.55081</v>
      </c>
      <c r="BG352" s="17">
        <f>F352*AN352</f>
        <v>0</v>
      </c>
      <c r="BH352" s="17">
        <f>F352*AO352</f>
        <v>0</v>
      </c>
      <c r="BI352" s="17">
        <f>F352*G352</f>
        <v>0</v>
      </c>
    </row>
    <row r="353" spans="1:61" ht="12.75">
      <c r="A353" s="4" t="s">
        <v>304</v>
      </c>
      <c r="B353" s="4"/>
      <c r="C353" s="4" t="s">
        <v>664</v>
      </c>
      <c r="D353" s="71" t="s">
        <v>1044</v>
      </c>
      <c r="E353" s="4" t="s">
        <v>1119</v>
      </c>
      <c r="F353" s="17">
        <v>2</v>
      </c>
      <c r="G353" s="148">
        <v>0</v>
      </c>
      <c r="H353" s="17">
        <f>F353*AN353</f>
        <v>0</v>
      </c>
      <c r="I353" s="17">
        <f>F353*AO353</f>
        <v>0</v>
      </c>
      <c r="J353" s="17">
        <f>F353*G353</f>
        <v>0</v>
      </c>
      <c r="K353" s="17">
        <v>2.2</v>
      </c>
      <c r="L353" s="17">
        <f>F353*K353</f>
        <v>4.4</v>
      </c>
      <c r="Y353" s="31">
        <f>IF(AP353="5",BI353,0)</f>
        <v>0</v>
      </c>
      <c r="AA353" s="31">
        <f>IF(AP353="1",BG353,0)</f>
        <v>0</v>
      </c>
      <c r="AB353" s="31">
        <f>IF(AP353="1",BH353,0)</f>
        <v>0</v>
      </c>
      <c r="AC353" s="31">
        <f>IF(AP353="7",BG353,0)</f>
        <v>0</v>
      </c>
      <c r="AD353" s="31">
        <f>IF(AP353="7",BH353,0)</f>
        <v>0</v>
      </c>
      <c r="AE353" s="31">
        <f>IF(AP353="2",BG353,0)</f>
        <v>0</v>
      </c>
      <c r="AF353" s="31">
        <f>IF(AP353="2",BH353,0)</f>
        <v>0</v>
      </c>
      <c r="AG353" s="31">
        <f>IF(AP353="0",BI353,0)</f>
        <v>0</v>
      </c>
      <c r="AH353" s="26"/>
      <c r="AI353" s="17">
        <f>IF(AM353=0,J353,0)</f>
        <v>0</v>
      </c>
      <c r="AJ353" s="17">
        <f>IF(AM353=15,J353,0)</f>
        <v>0</v>
      </c>
      <c r="AK353" s="17">
        <f>IF(AM353=21,J353,0)</f>
        <v>0</v>
      </c>
      <c r="AM353" s="31">
        <v>21</v>
      </c>
      <c r="AN353" s="31">
        <f>G353*0</f>
        <v>0</v>
      </c>
      <c r="AO353" s="31">
        <f>G353*(1-0)</f>
        <v>0</v>
      </c>
      <c r="AP353" s="27" t="s">
        <v>7</v>
      </c>
      <c r="AU353" s="31">
        <f>AV353+AW353</f>
        <v>0</v>
      </c>
      <c r="AV353" s="31">
        <f>F353*AN353</f>
        <v>0</v>
      </c>
      <c r="AW353" s="31">
        <f>F353*AO353</f>
        <v>0</v>
      </c>
      <c r="AX353" s="32" t="s">
        <v>1194</v>
      </c>
      <c r="AY353" s="32" t="s">
        <v>1214</v>
      </c>
      <c r="AZ353" s="26" t="s">
        <v>1215</v>
      </c>
      <c r="BA353" s="26" t="s">
        <v>1218</v>
      </c>
      <c r="BB353" s="31">
        <f>AV353+AW353</f>
        <v>0</v>
      </c>
      <c r="BC353" s="31">
        <f>G353/(100-BD353)*100</f>
        <v>0</v>
      </c>
      <c r="BD353" s="31">
        <v>0</v>
      </c>
      <c r="BE353" s="31">
        <f>L353</f>
        <v>4.4</v>
      </c>
      <c r="BG353" s="17">
        <f>F353*AN353</f>
        <v>0</v>
      </c>
      <c r="BH353" s="17">
        <f>F353*AO353</f>
        <v>0</v>
      </c>
      <c r="BI353" s="17">
        <f>F353*G353</f>
        <v>0</v>
      </c>
    </row>
    <row r="354" spans="1:61" ht="12.75">
      <c r="A354" s="4" t="s">
        <v>305</v>
      </c>
      <c r="B354" s="4"/>
      <c r="C354" s="4" t="s">
        <v>665</v>
      </c>
      <c r="D354" s="71" t="s">
        <v>1045</v>
      </c>
      <c r="E354" s="4" t="s">
        <v>1120</v>
      </c>
      <c r="F354" s="17">
        <v>13</v>
      </c>
      <c r="G354" s="148">
        <v>0</v>
      </c>
      <c r="H354" s="17">
        <f>F354*AN354</f>
        <v>0</v>
      </c>
      <c r="I354" s="17">
        <f>F354*AO354</f>
        <v>0</v>
      </c>
      <c r="J354" s="17">
        <f>F354*G354</f>
        <v>0</v>
      </c>
      <c r="K354" s="17">
        <v>0</v>
      </c>
      <c r="L354" s="17">
        <f>F354*K354</f>
        <v>0</v>
      </c>
      <c r="Y354" s="31">
        <f>IF(AP354="5",BI354,0)</f>
        <v>0</v>
      </c>
      <c r="AA354" s="31">
        <f>IF(AP354="1",BG354,0)</f>
        <v>0</v>
      </c>
      <c r="AB354" s="31">
        <f>IF(AP354="1",BH354,0)</f>
        <v>0</v>
      </c>
      <c r="AC354" s="31">
        <f>IF(AP354="7",BG354,0)</f>
        <v>0</v>
      </c>
      <c r="AD354" s="31">
        <f>IF(AP354="7",BH354,0)</f>
        <v>0</v>
      </c>
      <c r="AE354" s="31">
        <f>IF(AP354="2",BG354,0)</f>
        <v>0</v>
      </c>
      <c r="AF354" s="31">
        <f>IF(AP354="2",BH354,0)</f>
        <v>0</v>
      </c>
      <c r="AG354" s="31">
        <f>IF(AP354="0",BI354,0)</f>
        <v>0</v>
      </c>
      <c r="AH354" s="26"/>
      <c r="AI354" s="17">
        <f>IF(AM354=0,J354,0)</f>
        <v>0</v>
      </c>
      <c r="AJ354" s="17">
        <f>IF(AM354=15,J354,0)</f>
        <v>0</v>
      </c>
      <c r="AK354" s="17">
        <f>IF(AM354=21,J354,0)</f>
        <v>0</v>
      </c>
      <c r="AM354" s="31">
        <v>21</v>
      </c>
      <c r="AN354" s="31">
        <f>G354*0</f>
        <v>0</v>
      </c>
      <c r="AO354" s="31">
        <f>G354*(1-0)</f>
        <v>0</v>
      </c>
      <c r="AP354" s="27" t="s">
        <v>7</v>
      </c>
      <c r="AU354" s="31">
        <f>AV354+AW354</f>
        <v>0</v>
      </c>
      <c r="AV354" s="31">
        <f>F354*AN354</f>
        <v>0</v>
      </c>
      <c r="AW354" s="31">
        <f>F354*AO354</f>
        <v>0</v>
      </c>
      <c r="AX354" s="32" t="s">
        <v>1194</v>
      </c>
      <c r="AY354" s="32" t="s">
        <v>1214</v>
      </c>
      <c r="AZ354" s="26" t="s">
        <v>1215</v>
      </c>
      <c r="BA354" s="26" t="s">
        <v>1218</v>
      </c>
      <c r="BB354" s="31">
        <f>AV354+AW354</f>
        <v>0</v>
      </c>
      <c r="BC354" s="31">
        <f>G354/(100-BD354)*100</f>
        <v>0</v>
      </c>
      <c r="BD354" s="31">
        <v>0</v>
      </c>
      <c r="BE354" s="31">
        <f>L354</f>
        <v>0</v>
      </c>
      <c r="BG354" s="17">
        <f>F354*AN354</f>
        <v>0</v>
      </c>
      <c r="BH354" s="17">
        <f>F354*AO354</f>
        <v>0</v>
      </c>
      <c r="BI354" s="17">
        <f>F354*G354</f>
        <v>0</v>
      </c>
    </row>
    <row r="355" spans="1:46" ht="12.75">
      <c r="A355" s="6"/>
      <c r="B355" s="13"/>
      <c r="C355" s="13" t="s">
        <v>103</v>
      </c>
      <c r="D355" s="73" t="s">
        <v>1046</v>
      </c>
      <c r="E355" s="6" t="s">
        <v>6</v>
      </c>
      <c r="F355" s="6" t="s">
        <v>6</v>
      </c>
      <c r="G355" s="151"/>
      <c r="H355" s="34">
        <f>SUM(H356:H360)</f>
        <v>0</v>
      </c>
      <c r="I355" s="34">
        <f>SUM(I356:I360)</f>
        <v>0</v>
      </c>
      <c r="J355" s="34">
        <f>SUM(J356:J360)</f>
        <v>0</v>
      </c>
      <c r="K355" s="26"/>
      <c r="L355" s="34">
        <f>SUM(L356:L360)</f>
        <v>10.544302085</v>
      </c>
      <c r="AH355" s="26"/>
      <c r="AR355" s="34">
        <f>SUM(AI356:AI360)</f>
        <v>0</v>
      </c>
      <c r="AS355" s="34">
        <f>SUM(AJ356:AJ360)</f>
        <v>0</v>
      </c>
      <c r="AT355" s="34">
        <f>SUM(AK356:AK360)</f>
        <v>0</v>
      </c>
    </row>
    <row r="356" spans="1:61" ht="12.75">
      <c r="A356" s="4" t="s">
        <v>306</v>
      </c>
      <c r="B356" s="4"/>
      <c r="C356" s="4" t="s">
        <v>666</v>
      </c>
      <c r="D356" s="71" t="s">
        <v>1047</v>
      </c>
      <c r="E356" s="4" t="s">
        <v>1121</v>
      </c>
      <c r="F356" s="17">
        <v>107.2</v>
      </c>
      <c r="G356" s="148">
        <v>0</v>
      </c>
      <c r="H356" s="17">
        <f>F356*AN356</f>
        <v>0</v>
      </c>
      <c r="I356" s="17">
        <f>F356*AO356</f>
        <v>0</v>
      </c>
      <c r="J356" s="17">
        <f>F356*G356</f>
        <v>0</v>
      </c>
      <c r="K356" s="17">
        <v>0.068</v>
      </c>
      <c r="L356" s="17">
        <f>F356*K356</f>
        <v>7.289600000000001</v>
      </c>
      <c r="Y356" s="31">
        <f>IF(AP356="5",BI356,0)</f>
        <v>0</v>
      </c>
      <c r="AA356" s="31">
        <f>IF(AP356="1",BG356,0)</f>
        <v>0</v>
      </c>
      <c r="AB356" s="31">
        <f>IF(AP356="1",BH356,0)</f>
        <v>0</v>
      </c>
      <c r="AC356" s="31">
        <f>IF(AP356="7",BG356,0)</f>
        <v>0</v>
      </c>
      <c r="AD356" s="31">
        <f>IF(AP356="7",BH356,0)</f>
        <v>0</v>
      </c>
      <c r="AE356" s="31">
        <f>IF(AP356="2",BG356,0)</f>
        <v>0</v>
      </c>
      <c r="AF356" s="31">
        <f>IF(AP356="2",BH356,0)</f>
        <v>0</v>
      </c>
      <c r="AG356" s="31">
        <f>IF(AP356="0",BI356,0)</f>
        <v>0</v>
      </c>
      <c r="AH356" s="26"/>
      <c r="AI356" s="17">
        <f>IF(AM356=0,J356,0)</f>
        <v>0</v>
      </c>
      <c r="AJ356" s="17">
        <f>IF(AM356=15,J356,0)</f>
        <v>0</v>
      </c>
      <c r="AK356" s="17">
        <f>IF(AM356=21,J356,0)</f>
        <v>0</v>
      </c>
      <c r="AM356" s="31">
        <v>21</v>
      </c>
      <c r="AN356" s="31">
        <f>G356*0</f>
        <v>0</v>
      </c>
      <c r="AO356" s="31">
        <f>G356*(1-0)</f>
        <v>0</v>
      </c>
      <c r="AP356" s="27" t="s">
        <v>7</v>
      </c>
      <c r="AU356" s="31">
        <f>AV356+AW356</f>
        <v>0</v>
      </c>
      <c r="AV356" s="31">
        <f>F356*AN356</f>
        <v>0</v>
      </c>
      <c r="AW356" s="31">
        <f>F356*AO356</f>
        <v>0</v>
      </c>
      <c r="AX356" s="32" t="s">
        <v>1195</v>
      </c>
      <c r="AY356" s="32" t="s">
        <v>1214</v>
      </c>
      <c r="AZ356" s="26" t="s">
        <v>1215</v>
      </c>
      <c r="BA356" s="26" t="s">
        <v>1219</v>
      </c>
      <c r="BB356" s="31">
        <f>AV356+AW356</f>
        <v>0</v>
      </c>
      <c r="BC356" s="31">
        <f>G356/(100-BD356)*100</f>
        <v>0</v>
      </c>
      <c r="BD356" s="31">
        <v>0</v>
      </c>
      <c r="BE356" s="31">
        <f>L356</f>
        <v>7.289600000000001</v>
      </c>
      <c r="BG356" s="17">
        <f>F356*AN356</f>
        <v>0</v>
      </c>
      <c r="BH356" s="17">
        <f>F356*AO356</f>
        <v>0</v>
      </c>
      <c r="BI356" s="17">
        <f>F356*G356</f>
        <v>0</v>
      </c>
    </row>
    <row r="357" spans="1:61" ht="12.75">
      <c r="A357" s="4" t="s">
        <v>307</v>
      </c>
      <c r="B357" s="4"/>
      <c r="C357" s="4" t="s">
        <v>667</v>
      </c>
      <c r="D357" s="71" t="s">
        <v>1048</v>
      </c>
      <c r="E357" s="4" t="s">
        <v>1119</v>
      </c>
      <c r="F357" s="17">
        <v>5.6847</v>
      </c>
      <c r="G357" s="148">
        <v>0</v>
      </c>
      <c r="H357" s="17">
        <f>F357*AN357</f>
        <v>0</v>
      </c>
      <c r="I357" s="17">
        <f>F357*AO357</f>
        <v>0</v>
      </c>
      <c r="J357" s="17">
        <f>F357*G357</f>
        <v>0</v>
      </c>
      <c r="K357" s="17">
        <v>0.16555</v>
      </c>
      <c r="L357" s="17">
        <f>F357*K357</f>
        <v>0.941102085</v>
      </c>
      <c r="Y357" s="31">
        <f>IF(AP357="5",BI357,0)</f>
        <v>0</v>
      </c>
      <c r="AA357" s="31">
        <f>IF(AP357="1",BG357,0)</f>
        <v>0</v>
      </c>
      <c r="AB357" s="31">
        <f>IF(AP357="1",BH357,0)</f>
        <v>0</v>
      </c>
      <c r="AC357" s="31">
        <f>IF(AP357="7",BG357,0)</f>
        <v>0</v>
      </c>
      <c r="AD357" s="31">
        <f>IF(AP357="7",BH357,0)</f>
        <v>0</v>
      </c>
      <c r="AE357" s="31">
        <f>IF(AP357="2",BG357,0)</f>
        <v>0</v>
      </c>
      <c r="AF357" s="31">
        <f>IF(AP357="2",BH357,0)</f>
        <v>0</v>
      </c>
      <c r="AG357" s="31">
        <f>IF(AP357="0",BI357,0)</f>
        <v>0</v>
      </c>
      <c r="AH357" s="26"/>
      <c r="AI357" s="17">
        <f>IF(AM357=0,J357,0)</f>
        <v>0</v>
      </c>
      <c r="AJ357" s="17">
        <f>IF(AM357=15,J357,0)</f>
        <v>0</v>
      </c>
      <c r="AK357" s="17">
        <f>IF(AM357=21,J357,0)</f>
        <v>0</v>
      </c>
      <c r="AM357" s="31">
        <v>21</v>
      </c>
      <c r="AN357" s="31">
        <f>G357*0.105455857094935</f>
        <v>0</v>
      </c>
      <c r="AO357" s="31">
        <f>G357*(1-0.105455857094935)</f>
        <v>0</v>
      </c>
      <c r="AP357" s="27" t="s">
        <v>7</v>
      </c>
      <c r="AU357" s="31">
        <f>AV357+AW357</f>
        <v>0</v>
      </c>
      <c r="AV357" s="31">
        <f>F357*AN357</f>
        <v>0</v>
      </c>
      <c r="AW357" s="31">
        <f>F357*AO357</f>
        <v>0</v>
      </c>
      <c r="AX357" s="32" t="s">
        <v>1195</v>
      </c>
      <c r="AY357" s="32" t="s">
        <v>1214</v>
      </c>
      <c r="AZ357" s="26" t="s">
        <v>1215</v>
      </c>
      <c r="BA357" s="26" t="s">
        <v>1219</v>
      </c>
      <c r="BB357" s="31">
        <f>AV357+AW357</f>
        <v>0</v>
      </c>
      <c r="BC357" s="31">
        <f>G357/(100-BD357)*100</f>
        <v>0</v>
      </c>
      <c r="BD357" s="31">
        <v>0</v>
      </c>
      <c r="BE357" s="31">
        <f>L357</f>
        <v>0.941102085</v>
      </c>
      <c r="BG357" s="17">
        <f>F357*AN357</f>
        <v>0</v>
      </c>
      <c r="BH357" s="17">
        <f>F357*AO357</f>
        <v>0</v>
      </c>
      <c r="BI357" s="17">
        <f>F357*G357</f>
        <v>0</v>
      </c>
    </row>
    <row r="358" spans="1:61" ht="12.75">
      <c r="A358" s="4" t="s">
        <v>308</v>
      </c>
      <c r="B358" s="4"/>
      <c r="C358" s="4" t="s">
        <v>668</v>
      </c>
      <c r="D358" s="71" t="s">
        <v>1049</v>
      </c>
      <c r="E358" s="4" t="s">
        <v>1123</v>
      </c>
      <c r="F358" s="17">
        <v>30</v>
      </c>
      <c r="G358" s="148">
        <v>0</v>
      </c>
      <c r="H358" s="17">
        <f>F358*AN358</f>
        <v>0</v>
      </c>
      <c r="I358" s="17">
        <f>F358*AO358</f>
        <v>0</v>
      </c>
      <c r="J358" s="17">
        <f>F358*G358</f>
        <v>0</v>
      </c>
      <c r="K358" s="17">
        <v>0.03849</v>
      </c>
      <c r="L358" s="17">
        <f>F358*K358</f>
        <v>1.1547</v>
      </c>
      <c r="Y358" s="31">
        <f>IF(AP358="5",BI358,0)</f>
        <v>0</v>
      </c>
      <c r="AA358" s="31">
        <f>IF(AP358="1",BG358,0)</f>
        <v>0</v>
      </c>
      <c r="AB358" s="31">
        <f>IF(AP358="1",BH358,0)</f>
        <v>0</v>
      </c>
      <c r="AC358" s="31">
        <f>IF(AP358="7",BG358,0)</f>
        <v>0</v>
      </c>
      <c r="AD358" s="31">
        <f>IF(AP358="7",BH358,0)</f>
        <v>0</v>
      </c>
      <c r="AE358" s="31">
        <f>IF(AP358="2",BG358,0)</f>
        <v>0</v>
      </c>
      <c r="AF358" s="31">
        <f>IF(AP358="2",BH358,0)</f>
        <v>0</v>
      </c>
      <c r="AG358" s="31">
        <f>IF(AP358="0",BI358,0)</f>
        <v>0</v>
      </c>
      <c r="AH358" s="26"/>
      <c r="AI358" s="17">
        <f>IF(AM358=0,J358,0)</f>
        <v>0</v>
      </c>
      <c r="AJ358" s="17">
        <f>IF(AM358=15,J358,0)</f>
        <v>0</v>
      </c>
      <c r="AK358" s="17">
        <f>IF(AM358=21,J358,0)</f>
        <v>0</v>
      </c>
      <c r="AM358" s="31">
        <v>21</v>
      </c>
      <c r="AN358" s="31">
        <f>G358*0.0801422141039859</f>
        <v>0</v>
      </c>
      <c r="AO358" s="31">
        <f>G358*(1-0.0801422141039859)</f>
        <v>0</v>
      </c>
      <c r="AP358" s="27" t="s">
        <v>7</v>
      </c>
      <c r="AU358" s="31">
        <f>AV358+AW358</f>
        <v>0</v>
      </c>
      <c r="AV358" s="31">
        <f>F358*AN358</f>
        <v>0</v>
      </c>
      <c r="AW358" s="31">
        <f>F358*AO358</f>
        <v>0</v>
      </c>
      <c r="AX358" s="32" t="s">
        <v>1195</v>
      </c>
      <c r="AY358" s="32" t="s">
        <v>1214</v>
      </c>
      <c r="AZ358" s="26" t="s">
        <v>1215</v>
      </c>
      <c r="BB358" s="31">
        <f>AV358+AW358</f>
        <v>0</v>
      </c>
      <c r="BC358" s="31">
        <f>G358/(100-BD358)*100</f>
        <v>0</v>
      </c>
      <c r="BD358" s="31">
        <v>0</v>
      </c>
      <c r="BE358" s="31">
        <f>L358</f>
        <v>1.1547</v>
      </c>
      <c r="BG358" s="17">
        <f>F358*AN358</f>
        <v>0</v>
      </c>
      <c r="BH358" s="17">
        <f>F358*AO358</f>
        <v>0</v>
      </c>
      <c r="BI358" s="17">
        <f>F358*G358</f>
        <v>0</v>
      </c>
    </row>
    <row r="359" spans="1:61" ht="12.75">
      <c r="A359" s="4" t="s">
        <v>309</v>
      </c>
      <c r="B359" s="4"/>
      <c r="C359" s="4" t="s">
        <v>669</v>
      </c>
      <c r="D359" s="71" t="s">
        <v>1050</v>
      </c>
      <c r="E359" s="4" t="s">
        <v>1123</v>
      </c>
      <c r="F359" s="17">
        <v>210</v>
      </c>
      <c r="G359" s="148">
        <v>0</v>
      </c>
      <c r="H359" s="17">
        <f>F359*AN359</f>
        <v>0</v>
      </c>
      <c r="I359" s="17">
        <f>F359*AO359</f>
        <v>0</v>
      </c>
      <c r="J359" s="17">
        <f>F359*G359</f>
        <v>0</v>
      </c>
      <c r="K359" s="17">
        <v>0.00449</v>
      </c>
      <c r="L359" s="17">
        <f>F359*K359</f>
        <v>0.9429</v>
      </c>
      <c r="Y359" s="31">
        <f>IF(AP359="5",BI359,0)</f>
        <v>0</v>
      </c>
      <c r="AA359" s="31">
        <f>IF(AP359="1",BG359,0)</f>
        <v>0</v>
      </c>
      <c r="AB359" s="31">
        <f>IF(AP359="1",BH359,0)</f>
        <v>0</v>
      </c>
      <c r="AC359" s="31">
        <f>IF(AP359="7",BG359,0)</f>
        <v>0</v>
      </c>
      <c r="AD359" s="31">
        <f>IF(AP359="7",BH359,0)</f>
        <v>0</v>
      </c>
      <c r="AE359" s="31">
        <f>IF(AP359="2",BG359,0)</f>
        <v>0</v>
      </c>
      <c r="AF359" s="31">
        <f>IF(AP359="2",BH359,0)</f>
        <v>0</v>
      </c>
      <c r="AG359" s="31">
        <f>IF(AP359="0",BI359,0)</f>
        <v>0</v>
      </c>
      <c r="AH359" s="26"/>
      <c r="AI359" s="17">
        <f>IF(AM359=0,J359,0)</f>
        <v>0</v>
      </c>
      <c r="AJ359" s="17">
        <f>IF(AM359=15,J359,0)</f>
        <v>0</v>
      </c>
      <c r="AK359" s="17">
        <f>IF(AM359=21,J359,0)</f>
        <v>0</v>
      </c>
      <c r="AM359" s="31">
        <v>21</v>
      </c>
      <c r="AN359" s="31">
        <f>G359*0.235375</f>
        <v>0</v>
      </c>
      <c r="AO359" s="31">
        <f>G359*(1-0.235375)</f>
        <v>0</v>
      </c>
      <c r="AP359" s="27" t="s">
        <v>7</v>
      </c>
      <c r="AU359" s="31">
        <f>AV359+AW359</f>
        <v>0</v>
      </c>
      <c r="AV359" s="31">
        <f>F359*AN359</f>
        <v>0</v>
      </c>
      <c r="AW359" s="31">
        <f>F359*AO359</f>
        <v>0</v>
      </c>
      <c r="AX359" s="32" t="s">
        <v>1195</v>
      </c>
      <c r="AY359" s="32" t="s">
        <v>1214</v>
      </c>
      <c r="AZ359" s="26" t="s">
        <v>1215</v>
      </c>
      <c r="BB359" s="31">
        <f>AV359+AW359</f>
        <v>0</v>
      </c>
      <c r="BC359" s="31">
        <f>G359/(100-BD359)*100</f>
        <v>0</v>
      </c>
      <c r="BD359" s="31">
        <v>0</v>
      </c>
      <c r="BE359" s="31">
        <f>L359</f>
        <v>0.9429</v>
      </c>
      <c r="BG359" s="17">
        <f>F359*AN359</f>
        <v>0</v>
      </c>
      <c r="BH359" s="17">
        <f>F359*AO359</f>
        <v>0</v>
      </c>
      <c r="BI359" s="17">
        <f>F359*G359</f>
        <v>0</v>
      </c>
    </row>
    <row r="360" spans="1:61" ht="12.75">
      <c r="A360" s="4" t="s">
        <v>310</v>
      </c>
      <c r="B360" s="4"/>
      <c r="C360" s="4" t="s">
        <v>670</v>
      </c>
      <c r="D360" s="71" t="s">
        <v>1051</v>
      </c>
      <c r="E360" s="4" t="s">
        <v>1120</v>
      </c>
      <c r="F360" s="17">
        <v>200</v>
      </c>
      <c r="G360" s="148">
        <v>0</v>
      </c>
      <c r="H360" s="17">
        <f>F360*AN360</f>
        <v>0</v>
      </c>
      <c r="I360" s="17">
        <f>F360*AO360</f>
        <v>0</v>
      </c>
      <c r="J360" s="17">
        <f>F360*G360</f>
        <v>0</v>
      </c>
      <c r="K360" s="17">
        <v>0.00108</v>
      </c>
      <c r="L360" s="17">
        <f>F360*K360</f>
        <v>0.216</v>
      </c>
      <c r="Y360" s="31">
        <f>IF(AP360="5",BI360,0)</f>
        <v>0</v>
      </c>
      <c r="AA360" s="31">
        <f>IF(AP360="1",BG360,0)</f>
        <v>0</v>
      </c>
      <c r="AB360" s="31">
        <f>IF(AP360="1",BH360,0)</f>
        <v>0</v>
      </c>
      <c r="AC360" s="31">
        <f>IF(AP360="7",BG360,0)</f>
        <v>0</v>
      </c>
      <c r="AD360" s="31">
        <f>IF(AP360="7",BH360,0)</f>
        <v>0</v>
      </c>
      <c r="AE360" s="31">
        <f>IF(AP360="2",BG360,0)</f>
        <v>0</v>
      </c>
      <c r="AF360" s="31">
        <f>IF(AP360="2",BH360,0)</f>
        <v>0</v>
      </c>
      <c r="AG360" s="31">
        <f>IF(AP360="0",BI360,0)</f>
        <v>0</v>
      </c>
      <c r="AH360" s="26"/>
      <c r="AI360" s="17">
        <f>IF(AM360=0,J360,0)</f>
        <v>0</v>
      </c>
      <c r="AJ360" s="17">
        <f>IF(AM360=15,J360,0)</f>
        <v>0</v>
      </c>
      <c r="AK360" s="17">
        <f>IF(AM360=21,J360,0)</f>
        <v>0</v>
      </c>
      <c r="AM360" s="31">
        <v>21</v>
      </c>
      <c r="AN360" s="31">
        <f>G360*0.0525862068965517</f>
        <v>0</v>
      </c>
      <c r="AO360" s="31">
        <f>G360*(1-0.0525862068965517)</f>
        <v>0</v>
      </c>
      <c r="AP360" s="27" t="s">
        <v>7</v>
      </c>
      <c r="AU360" s="31">
        <f>AV360+AW360</f>
        <v>0</v>
      </c>
      <c r="AV360" s="31">
        <f>F360*AN360</f>
        <v>0</v>
      </c>
      <c r="AW360" s="31">
        <f>F360*AO360</f>
        <v>0</v>
      </c>
      <c r="AX360" s="32" t="s">
        <v>1195</v>
      </c>
      <c r="AY360" s="32" t="s">
        <v>1214</v>
      </c>
      <c r="AZ360" s="26" t="s">
        <v>1215</v>
      </c>
      <c r="BB360" s="31">
        <f>AV360+AW360</f>
        <v>0</v>
      </c>
      <c r="BC360" s="31">
        <f>G360/(100-BD360)*100</f>
        <v>0</v>
      </c>
      <c r="BD360" s="31">
        <v>0</v>
      </c>
      <c r="BE360" s="31">
        <f>L360</f>
        <v>0.216</v>
      </c>
      <c r="BG360" s="17">
        <f>F360*AN360</f>
        <v>0</v>
      </c>
      <c r="BH360" s="17">
        <f>F360*AO360</f>
        <v>0</v>
      </c>
      <c r="BI360" s="17">
        <f>F360*G360</f>
        <v>0</v>
      </c>
    </row>
    <row r="361" spans="1:46" ht="12.75">
      <c r="A361" s="6"/>
      <c r="B361" s="13"/>
      <c r="C361" s="13" t="s">
        <v>671</v>
      </c>
      <c r="D361" s="73" t="s">
        <v>1052</v>
      </c>
      <c r="E361" s="6" t="s">
        <v>6</v>
      </c>
      <c r="F361" s="6" t="s">
        <v>6</v>
      </c>
      <c r="G361" s="151" t="s">
        <v>6</v>
      </c>
      <c r="H361" s="34">
        <f>SUM(H362:H362)</f>
        <v>0</v>
      </c>
      <c r="I361" s="34">
        <f>SUM(I362:I362)</f>
        <v>0</v>
      </c>
      <c r="J361" s="34">
        <f>SUM(J362:J362)</f>
        <v>0</v>
      </c>
      <c r="K361" s="26"/>
      <c r="L361" s="34">
        <f>SUM(L362:L362)</f>
        <v>0</v>
      </c>
      <c r="AH361" s="26"/>
      <c r="AR361" s="34">
        <f>SUM(AI362:AI362)</f>
        <v>0</v>
      </c>
      <c r="AS361" s="34">
        <f>SUM(AJ362:AJ362)</f>
        <v>0</v>
      </c>
      <c r="AT361" s="34">
        <f>SUM(AK362:AK362)</f>
        <v>0</v>
      </c>
    </row>
    <row r="362" spans="1:61" ht="12.75">
      <c r="A362" s="4" t="s">
        <v>311</v>
      </c>
      <c r="B362" s="4"/>
      <c r="C362" s="4" t="s">
        <v>672</v>
      </c>
      <c r="D362" s="71" t="s">
        <v>1053</v>
      </c>
      <c r="E362" s="4" t="s">
        <v>1122</v>
      </c>
      <c r="F362" s="17">
        <v>1578</v>
      </c>
      <c r="G362" s="148">
        <v>0</v>
      </c>
      <c r="H362" s="17">
        <f>F362*AN362</f>
        <v>0</v>
      </c>
      <c r="I362" s="17">
        <f>F362*AO362</f>
        <v>0</v>
      </c>
      <c r="J362" s="17">
        <f>F362*G362</f>
        <v>0</v>
      </c>
      <c r="K362" s="17">
        <v>0</v>
      </c>
      <c r="L362" s="17">
        <f>F362*K362</f>
        <v>0</v>
      </c>
      <c r="Y362" s="31">
        <f>IF(AP362="5",BI362,0)</f>
        <v>0</v>
      </c>
      <c r="AA362" s="31">
        <f>IF(AP362="1",BG362,0)</f>
        <v>0</v>
      </c>
      <c r="AB362" s="31">
        <f>IF(AP362="1",BH362,0)</f>
        <v>0</v>
      </c>
      <c r="AC362" s="31">
        <f>IF(AP362="7",BG362,0)</f>
        <v>0</v>
      </c>
      <c r="AD362" s="31">
        <f>IF(AP362="7",BH362,0)</f>
        <v>0</v>
      </c>
      <c r="AE362" s="31">
        <f>IF(AP362="2",BG362,0)</f>
        <v>0</v>
      </c>
      <c r="AF362" s="31">
        <f>IF(AP362="2",BH362,0)</f>
        <v>0</v>
      </c>
      <c r="AG362" s="31">
        <f>IF(AP362="0",BI362,0)</f>
        <v>0</v>
      </c>
      <c r="AH362" s="26"/>
      <c r="AI362" s="17">
        <f>IF(AM362=0,J362,0)</f>
        <v>0</v>
      </c>
      <c r="AJ362" s="17">
        <f>IF(AM362=15,J362,0)</f>
        <v>0</v>
      </c>
      <c r="AK362" s="17">
        <f>IF(AM362=21,J362,0)</f>
        <v>0</v>
      </c>
      <c r="AM362" s="31">
        <v>21</v>
      </c>
      <c r="AN362" s="31">
        <f>G362*0</f>
        <v>0</v>
      </c>
      <c r="AO362" s="31">
        <f>G362*(1-0)</f>
        <v>0</v>
      </c>
      <c r="AP362" s="27" t="s">
        <v>11</v>
      </c>
      <c r="AU362" s="31">
        <f>AV362+AW362</f>
        <v>0</v>
      </c>
      <c r="AV362" s="31">
        <f>F362*AN362</f>
        <v>0</v>
      </c>
      <c r="AW362" s="31">
        <f>F362*AO362</f>
        <v>0</v>
      </c>
      <c r="AX362" s="32" t="s">
        <v>1196</v>
      </c>
      <c r="AY362" s="32" t="s">
        <v>1214</v>
      </c>
      <c r="AZ362" s="26" t="s">
        <v>1215</v>
      </c>
      <c r="BB362" s="31">
        <f>AV362+AW362</f>
        <v>0</v>
      </c>
      <c r="BC362" s="31">
        <f>G362/(100-BD362)*100</f>
        <v>0</v>
      </c>
      <c r="BD362" s="31">
        <v>0</v>
      </c>
      <c r="BE362" s="31">
        <f>L362</f>
        <v>0</v>
      </c>
      <c r="BG362" s="17">
        <f>F362*AN362</f>
        <v>0</v>
      </c>
      <c r="BH362" s="17">
        <f>F362*AO362</f>
        <v>0</v>
      </c>
      <c r="BI362" s="17">
        <f>F362*G362</f>
        <v>0</v>
      </c>
    </row>
    <row r="363" spans="1:46" ht="12.75">
      <c r="A363" s="6"/>
      <c r="B363" s="13"/>
      <c r="C363" s="13" t="s">
        <v>673</v>
      </c>
      <c r="D363" s="73" t="s">
        <v>1054</v>
      </c>
      <c r="E363" s="6" t="s">
        <v>6</v>
      </c>
      <c r="F363" s="6" t="s">
        <v>6</v>
      </c>
      <c r="G363" s="151" t="s">
        <v>6</v>
      </c>
      <c r="H363" s="34">
        <f>SUM(H364:H419)</f>
        <v>0</v>
      </c>
      <c r="I363" s="34">
        <f>SUM(I364:I419)</f>
        <v>0</v>
      </c>
      <c r="J363" s="34">
        <f>SUM(J364:J419)</f>
        <v>0</v>
      </c>
      <c r="K363" s="26"/>
      <c r="L363" s="34">
        <f>SUM(L364:L419)</f>
        <v>0.44586000000000003</v>
      </c>
      <c r="AH363" s="26"/>
      <c r="AR363" s="34">
        <f>SUM(AI364:AI419)</f>
        <v>0</v>
      </c>
      <c r="AS363" s="34">
        <f>SUM(AJ364:AJ419)</f>
        <v>0</v>
      </c>
      <c r="AT363" s="34">
        <f>SUM(AK364:AK419)</f>
        <v>0</v>
      </c>
    </row>
    <row r="364" spans="1:61" ht="12.75">
      <c r="A364" s="4" t="s">
        <v>312</v>
      </c>
      <c r="B364" s="4"/>
      <c r="C364" s="4" t="s">
        <v>674</v>
      </c>
      <c r="D364" s="71" t="s">
        <v>1055</v>
      </c>
      <c r="E364" s="4" t="s">
        <v>1126</v>
      </c>
      <c r="F364" s="17">
        <v>13</v>
      </c>
      <c r="G364" s="148">
        <v>0</v>
      </c>
      <c r="H364" s="17">
        <f aca="true" t="shared" si="460" ref="H364:H396">F364*AN364</f>
        <v>0</v>
      </c>
      <c r="I364" s="17">
        <f aca="true" t="shared" si="461" ref="I364:I396">F364*AO364</f>
        <v>0</v>
      </c>
      <c r="J364" s="17">
        <f aca="true" t="shared" si="462" ref="J364:J396">F364*G364</f>
        <v>0</v>
      </c>
      <c r="K364" s="17">
        <v>3E-05</v>
      </c>
      <c r="L364" s="17">
        <f aca="true" t="shared" si="463" ref="L364:L396">F364*K364</f>
        <v>0.00039</v>
      </c>
      <c r="Y364" s="31">
        <f aca="true" t="shared" si="464" ref="Y364:Y396">IF(AP364="5",BI364,0)</f>
        <v>0</v>
      </c>
      <c r="AA364" s="31">
        <f aca="true" t="shared" si="465" ref="AA364:AA396">IF(AP364="1",BG364,0)</f>
        <v>0</v>
      </c>
      <c r="AB364" s="31">
        <f aca="true" t="shared" si="466" ref="AB364:AB396">IF(AP364="1",BH364,0)</f>
        <v>0</v>
      </c>
      <c r="AC364" s="31">
        <f aca="true" t="shared" si="467" ref="AC364:AC396">IF(AP364="7",BG364,0)</f>
        <v>0</v>
      </c>
      <c r="AD364" s="31">
        <f aca="true" t="shared" si="468" ref="AD364:AD396">IF(AP364="7",BH364,0)</f>
        <v>0</v>
      </c>
      <c r="AE364" s="31">
        <f aca="true" t="shared" si="469" ref="AE364:AE396">IF(AP364="2",BG364,0)</f>
        <v>0</v>
      </c>
      <c r="AF364" s="31">
        <f aca="true" t="shared" si="470" ref="AF364:AF396">IF(AP364="2",BH364,0)</f>
        <v>0</v>
      </c>
      <c r="AG364" s="31">
        <f aca="true" t="shared" si="471" ref="AG364:AG396">IF(AP364="0",BI364,0)</f>
        <v>0</v>
      </c>
      <c r="AH364" s="26"/>
      <c r="AI364" s="17">
        <f aca="true" t="shared" si="472" ref="AI364:AI396">IF(AM364=0,J364,0)</f>
        <v>0</v>
      </c>
      <c r="AJ364" s="17">
        <f aca="true" t="shared" si="473" ref="AJ364:AJ396">IF(AM364=15,J364,0)</f>
        <v>0</v>
      </c>
      <c r="AK364" s="17">
        <f aca="true" t="shared" si="474" ref="AK364:AK396">IF(AM364=21,J364,0)</f>
        <v>0</v>
      </c>
      <c r="AM364" s="31">
        <v>21</v>
      </c>
      <c r="AN364" s="31">
        <f>G364*0.790108564535585</f>
        <v>0</v>
      </c>
      <c r="AO364" s="31">
        <f>G364*(1-0.790108564535585)</f>
        <v>0</v>
      </c>
      <c r="AP364" s="27" t="s">
        <v>8</v>
      </c>
      <c r="AU364" s="31">
        <f aca="true" t="shared" si="475" ref="AU364:AU396">AV364+AW364</f>
        <v>0</v>
      </c>
      <c r="AV364" s="31">
        <f aca="true" t="shared" si="476" ref="AV364:AV396">F364*AN364</f>
        <v>0</v>
      </c>
      <c r="AW364" s="31">
        <f aca="true" t="shared" si="477" ref="AW364:AW396">F364*AO364</f>
        <v>0</v>
      </c>
      <c r="AX364" s="32" t="s">
        <v>1197</v>
      </c>
      <c r="AY364" s="32" t="s">
        <v>1214</v>
      </c>
      <c r="AZ364" s="26" t="s">
        <v>1215</v>
      </c>
      <c r="BA364" s="26" t="s">
        <v>1220</v>
      </c>
      <c r="BB364" s="31">
        <f aca="true" t="shared" si="478" ref="BB364:BB396">AV364+AW364</f>
        <v>0</v>
      </c>
      <c r="BC364" s="31">
        <f aca="true" t="shared" si="479" ref="BC364:BC396">G364/(100-BD364)*100</f>
        <v>0</v>
      </c>
      <c r="BD364" s="31">
        <v>0</v>
      </c>
      <c r="BE364" s="31">
        <f aca="true" t="shared" si="480" ref="BE364:BE396">L364</f>
        <v>0.00039</v>
      </c>
      <c r="BG364" s="17">
        <f aca="true" t="shared" si="481" ref="BG364:BG396">F364*AN364</f>
        <v>0</v>
      </c>
      <c r="BH364" s="17">
        <f aca="true" t="shared" si="482" ref="BH364:BH396">F364*AO364</f>
        <v>0</v>
      </c>
      <c r="BI364" s="17">
        <f aca="true" t="shared" si="483" ref="BI364:BI396">F364*G364</f>
        <v>0</v>
      </c>
    </row>
    <row r="365" spans="1:61" ht="25.5">
      <c r="A365" s="4" t="s">
        <v>313</v>
      </c>
      <c r="B365" s="4"/>
      <c r="C365" s="4" t="s">
        <v>675</v>
      </c>
      <c r="D365" s="71" t="s">
        <v>1056</v>
      </c>
      <c r="E365" s="4" t="s">
        <v>1126</v>
      </c>
      <c r="F365" s="17">
        <v>4</v>
      </c>
      <c r="G365" s="148">
        <v>0</v>
      </c>
      <c r="H365" s="17">
        <f t="shared" si="460"/>
        <v>0</v>
      </c>
      <c r="I365" s="17">
        <f t="shared" si="461"/>
        <v>0</v>
      </c>
      <c r="J365" s="17">
        <f t="shared" si="462"/>
        <v>0</v>
      </c>
      <c r="K365" s="17">
        <v>0</v>
      </c>
      <c r="L365" s="17">
        <f t="shared" si="463"/>
        <v>0</v>
      </c>
      <c r="Y365" s="31">
        <f t="shared" si="464"/>
        <v>0</v>
      </c>
      <c r="AA365" s="31">
        <f t="shared" si="465"/>
        <v>0</v>
      </c>
      <c r="AB365" s="31">
        <f t="shared" si="466"/>
        <v>0</v>
      </c>
      <c r="AC365" s="31">
        <f t="shared" si="467"/>
        <v>0</v>
      </c>
      <c r="AD365" s="31">
        <f t="shared" si="468"/>
        <v>0</v>
      </c>
      <c r="AE365" s="31">
        <f t="shared" si="469"/>
        <v>0</v>
      </c>
      <c r="AF365" s="31">
        <f t="shared" si="470"/>
        <v>0</v>
      </c>
      <c r="AG365" s="31">
        <f t="shared" si="471"/>
        <v>0</v>
      </c>
      <c r="AH365" s="26"/>
      <c r="AI365" s="17">
        <f t="shared" si="472"/>
        <v>0</v>
      </c>
      <c r="AJ365" s="17">
        <f t="shared" si="473"/>
        <v>0</v>
      </c>
      <c r="AK365" s="17">
        <f t="shared" si="474"/>
        <v>0</v>
      </c>
      <c r="AM365" s="31">
        <v>21</v>
      </c>
      <c r="AN365" s="31">
        <f>G365*0.816522574447647</f>
        <v>0</v>
      </c>
      <c r="AO365" s="31">
        <f>G365*(1-0.816522574447647)</f>
        <v>0</v>
      </c>
      <c r="AP365" s="27" t="s">
        <v>8</v>
      </c>
      <c r="AU365" s="31">
        <f t="shared" si="475"/>
        <v>0</v>
      </c>
      <c r="AV365" s="31">
        <f t="shared" si="476"/>
        <v>0</v>
      </c>
      <c r="AW365" s="31">
        <f t="shared" si="477"/>
        <v>0</v>
      </c>
      <c r="AX365" s="32" t="s">
        <v>1197</v>
      </c>
      <c r="AY365" s="32" t="s">
        <v>1214</v>
      </c>
      <c r="AZ365" s="26" t="s">
        <v>1215</v>
      </c>
      <c r="BA365" s="26" t="s">
        <v>1220</v>
      </c>
      <c r="BB365" s="31">
        <f t="shared" si="478"/>
        <v>0</v>
      </c>
      <c r="BC365" s="31">
        <f t="shared" si="479"/>
        <v>0</v>
      </c>
      <c r="BD365" s="31">
        <v>0</v>
      </c>
      <c r="BE365" s="31">
        <f t="shared" si="480"/>
        <v>0</v>
      </c>
      <c r="BG365" s="17">
        <f t="shared" si="481"/>
        <v>0</v>
      </c>
      <c r="BH365" s="17">
        <f t="shared" si="482"/>
        <v>0</v>
      </c>
      <c r="BI365" s="17">
        <f t="shared" si="483"/>
        <v>0</v>
      </c>
    </row>
    <row r="366" spans="1:61" ht="12.75">
      <c r="A366" s="4" t="s">
        <v>314</v>
      </c>
      <c r="B366" s="4"/>
      <c r="C366" s="4" t="s">
        <v>676</v>
      </c>
      <c r="D366" s="71" t="s">
        <v>1289</v>
      </c>
      <c r="E366" s="4" t="s">
        <v>1126</v>
      </c>
      <c r="F366" s="17">
        <v>3</v>
      </c>
      <c r="G366" s="148">
        <v>0</v>
      </c>
      <c r="H366" s="17">
        <f t="shared" si="460"/>
        <v>0</v>
      </c>
      <c r="I366" s="17">
        <f t="shared" si="461"/>
        <v>0</v>
      </c>
      <c r="J366" s="17">
        <f t="shared" si="462"/>
        <v>0</v>
      </c>
      <c r="K366" s="17">
        <v>6E-05</v>
      </c>
      <c r="L366" s="17">
        <f t="shared" si="463"/>
        <v>0.00018</v>
      </c>
      <c r="Y366" s="31">
        <f t="shared" si="464"/>
        <v>0</v>
      </c>
      <c r="AA366" s="31">
        <f t="shared" si="465"/>
        <v>0</v>
      </c>
      <c r="AB366" s="31">
        <f t="shared" si="466"/>
        <v>0</v>
      </c>
      <c r="AC366" s="31">
        <f t="shared" si="467"/>
        <v>0</v>
      </c>
      <c r="AD366" s="31">
        <f t="shared" si="468"/>
        <v>0</v>
      </c>
      <c r="AE366" s="31">
        <f t="shared" si="469"/>
        <v>0</v>
      </c>
      <c r="AF366" s="31">
        <f t="shared" si="470"/>
        <v>0</v>
      </c>
      <c r="AG366" s="31">
        <f t="shared" si="471"/>
        <v>0</v>
      </c>
      <c r="AH366" s="26"/>
      <c r="AI366" s="17">
        <f t="shared" si="472"/>
        <v>0</v>
      </c>
      <c r="AJ366" s="17">
        <f t="shared" si="473"/>
        <v>0</v>
      </c>
      <c r="AK366" s="17">
        <f t="shared" si="474"/>
        <v>0</v>
      </c>
      <c r="AM366" s="31">
        <v>21</v>
      </c>
      <c r="AN366" s="31">
        <f>G366*0.916030534351145</f>
        <v>0</v>
      </c>
      <c r="AO366" s="31">
        <f>G366*(1-0.916030534351145)</f>
        <v>0</v>
      </c>
      <c r="AP366" s="27" t="s">
        <v>8</v>
      </c>
      <c r="AU366" s="31">
        <f t="shared" si="475"/>
        <v>0</v>
      </c>
      <c r="AV366" s="31">
        <f t="shared" si="476"/>
        <v>0</v>
      </c>
      <c r="AW366" s="31">
        <f t="shared" si="477"/>
        <v>0</v>
      </c>
      <c r="AX366" s="32" t="s">
        <v>1197</v>
      </c>
      <c r="AY366" s="32" t="s">
        <v>1214</v>
      </c>
      <c r="AZ366" s="26" t="s">
        <v>1215</v>
      </c>
      <c r="BB366" s="31">
        <f t="shared" si="478"/>
        <v>0</v>
      </c>
      <c r="BC366" s="31">
        <f t="shared" si="479"/>
        <v>0</v>
      </c>
      <c r="BD366" s="31">
        <v>0</v>
      </c>
      <c r="BE366" s="31">
        <f t="shared" si="480"/>
        <v>0.00018</v>
      </c>
      <c r="BG366" s="17">
        <f t="shared" si="481"/>
        <v>0</v>
      </c>
      <c r="BH366" s="17">
        <f t="shared" si="482"/>
        <v>0</v>
      </c>
      <c r="BI366" s="17">
        <f t="shared" si="483"/>
        <v>0</v>
      </c>
    </row>
    <row r="367" spans="1:61" ht="25.5">
      <c r="A367" s="4" t="s">
        <v>315</v>
      </c>
      <c r="B367" s="4"/>
      <c r="C367" s="4" t="s">
        <v>676</v>
      </c>
      <c r="D367" s="71" t="s">
        <v>1057</v>
      </c>
      <c r="E367" s="4" t="s">
        <v>1126</v>
      </c>
      <c r="F367" s="17">
        <v>10</v>
      </c>
      <c r="G367" s="148">
        <v>0</v>
      </c>
      <c r="H367" s="17">
        <f t="shared" si="460"/>
        <v>0</v>
      </c>
      <c r="I367" s="17">
        <f t="shared" si="461"/>
        <v>0</v>
      </c>
      <c r="J367" s="17">
        <f t="shared" si="462"/>
        <v>0</v>
      </c>
      <c r="K367" s="17">
        <v>6E-05</v>
      </c>
      <c r="L367" s="17">
        <f t="shared" si="463"/>
        <v>0.0006000000000000001</v>
      </c>
      <c r="Y367" s="31">
        <f t="shared" si="464"/>
        <v>0</v>
      </c>
      <c r="AA367" s="31">
        <f t="shared" si="465"/>
        <v>0</v>
      </c>
      <c r="AB367" s="31">
        <f t="shared" si="466"/>
        <v>0</v>
      </c>
      <c r="AC367" s="31">
        <f t="shared" si="467"/>
        <v>0</v>
      </c>
      <c r="AD367" s="31">
        <f t="shared" si="468"/>
        <v>0</v>
      </c>
      <c r="AE367" s="31">
        <f t="shared" si="469"/>
        <v>0</v>
      </c>
      <c r="AF367" s="31">
        <f t="shared" si="470"/>
        <v>0</v>
      </c>
      <c r="AG367" s="31">
        <f t="shared" si="471"/>
        <v>0</v>
      </c>
      <c r="AH367" s="26"/>
      <c r="AI367" s="17">
        <f t="shared" si="472"/>
        <v>0</v>
      </c>
      <c r="AJ367" s="17">
        <f t="shared" si="473"/>
        <v>0</v>
      </c>
      <c r="AK367" s="17">
        <f t="shared" si="474"/>
        <v>0</v>
      </c>
      <c r="AM367" s="31">
        <v>21</v>
      </c>
      <c r="AN367" s="31">
        <f>G367*0.842696629213483</f>
        <v>0</v>
      </c>
      <c r="AO367" s="31">
        <f>G367*(1-0.842696629213483)</f>
        <v>0</v>
      </c>
      <c r="AP367" s="27" t="s">
        <v>8</v>
      </c>
      <c r="AU367" s="31">
        <f t="shared" si="475"/>
        <v>0</v>
      </c>
      <c r="AV367" s="31">
        <f t="shared" si="476"/>
        <v>0</v>
      </c>
      <c r="AW367" s="31">
        <f t="shared" si="477"/>
        <v>0</v>
      </c>
      <c r="AX367" s="32" t="s">
        <v>1197</v>
      </c>
      <c r="AY367" s="32" t="s">
        <v>1214</v>
      </c>
      <c r="AZ367" s="26" t="s">
        <v>1215</v>
      </c>
      <c r="BB367" s="31">
        <f t="shared" si="478"/>
        <v>0</v>
      </c>
      <c r="BC367" s="31">
        <f t="shared" si="479"/>
        <v>0</v>
      </c>
      <c r="BD367" s="31">
        <v>0</v>
      </c>
      <c r="BE367" s="31">
        <f t="shared" si="480"/>
        <v>0.0006000000000000001</v>
      </c>
      <c r="BG367" s="17">
        <f t="shared" si="481"/>
        <v>0</v>
      </c>
      <c r="BH367" s="17">
        <f t="shared" si="482"/>
        <v>0</v>
      </c>
      <c r="BI367" s="17">
        <f t="shared" si="483"/>
        <v>0</v>
      </c>
    </row>
    <row r="368" spans="1:61" ht="12.75">
      <c r="A368" s="4" t="s">
        <v>316</v>
      </c>
      <c r="B368" s="4"/>
      <c r="C368" s="4" t="s">
        <v>676</v>
      </c>
      <c r="D368" s="71" t="s">
        <v>1058</v>
      </c>
      <c r="E368" s="4" t="s">
        <v>1126</v>
      </c>
      <c r="F368" s="17">
        <v>11</v>
      </c>
      <c r="G368" s="148">
        <v>0</v>
      </c>
      <c r="H368" s="17">
        <f t="shared" si="460"/>
        <v>0</v>
      </c>
      <c r="I368" s="17">
        <f t="shared" si="461"/>
        <v>0</v>
      </c>
      <c r="J368" s="17">
        <f t="shared" si="462"/>
        <v>0</v>
      </c>
      <c r="K368" s="17">
        <v>6E-05</v>
      </c>
      <c r="L368" s="17">
        <f t="shared" si="463"/>
        <v>0.00066</v>
      </c>
      <c r="Y368" s="31">
        <f t="shared" si="464"/>
        <v>0</v>
      </c>
      <c r="AA368" s="31">
        <f t="shared" si="465"/>
        <v>0</v>
      </c>
      <c r="AB368" s="31">
        <f t="shared" si="466"/>
        <v>0</v>
      </c>
      <c r="AC368" s="31">
        <f t="shared" si="467"/>
        <v>0</v>
      </c>
      <c r="AD368" s="31">
        <f t="shared" si="468"/>
        <v>0</v>
      </c>
      <c r="AE368" s="31">
        <f t="shared" si="469"/>
        <v>0</v>
      </c>
      <c r="AF368" s="31">
        <f t="shared" si="470"/>
        <v>0</v>
      </c>
      <c r="AG368" s="31">
        <f t="shared" si="471"/>
        <v>0</v>
      </c>
      <c r="AH368" s="26"/>
      <c r="AI368" s="17">
        <f t="shared" si="472"/>
        <v>0</v>
      </c>
      <c r="AJ368" s="17">
        <f t="shared" si="473"/>
        <v>0</v>
      </c>
      <c r="AK368" s="17">
        <f t="shared" si="474"/>
        <v>0</v>
      </c>
      <c r="AM368" s="31">
        <v>21</v>
      </c>
      <c r="AN368" s="31">
        <f>G368*0.849246231155779</f>
        <v>0</v>
      </c>
      <c r="AO368" s="31">
        <f>G368*(1-0.849246231155779)</f>
        <v>0</v>
      </c>
      <c r="AP368" s="27" t="s">
        <v>8</v>
      </c>
      <c r="AU368" s="31">
        <f t="shared" si="475"/>
        <v>0</v>
      </c>
      <c r="AV368" s="31">
        <f t="shared" si="476"/>
        <v>0</v>
      </c>
      <c r="AW368" s="31">
        <f t="shared" si="477"/>
        <v>0</v>
      </c>
      <c r="AX368" s="32" t="s">
        <v>1197</v>
      </c>
      <c r="AY368" s="32" t="s">
        <v>1214</v>
      </c>
      <c r="AZ368" s="26" t="s">
        <v>1215</v>
      </c>
      <c r="BB368" s="31">
        <f t="shared" si="478"/>
        <v>0</v>
      </c>
      <c r="BC368" s="31">
        <f t="shared" si="479"/>
        <v>0</v>
      </c>
      <c r="BD368" s="31">
        <v>0</v>
      </c>
      <c r="BE368" s="31">
        <f t="shared" si="480"/>
        <v>0.00066</v>
      </c>
      <c r="BG368" s="17">
        <f t="shared" si="481"/>
        <v>0</v>
      </c>
      <c r="BH368" s="17">
        <f t="shared" si="482"/>
        <v>0</v>
      </c>
      <c r="BI368" s="17">
        <f t="shared" si="483"/>
        <v>0</v>
      </c>
    </row>
    <row r="369" spans="1:61" ht="12.75">
      <c r="A369" s="4" t="s">
        <v>317</v>
      </c>
      <c r="B369" s="4"/>
      <c r="C369" s="4" t="s">
        <v>677</v>
      </c>
      <c r="D369" s="71" t="s">
        <v>1059</v>
      </c>
      <c r="E369" s="4" t="s">
        <v>1126</v>
      </c>
      <c r="F369" s="17">
        <v>5</v>
      </c>
      <c r="G369" s="148">
        <v>0</v>
      </c>
      <c r="H369" s="17">
        <f t="shared" si="460"/>
        <v>0</v>
      </c>
      <c r="I369" s="17">
        <f t="shared" si="461"/>
        <v>0</v>
      </c>
      <c r="J369" s="17">
        <f t="shared" si="462"/>
        <v>0</v>
      </c>
      <c r="K369" s="17">
        <v>6E-05</v>
      </c>
      <c r="L369" s="17">
        <f t="shared" si="463"/>
        <v>0.00030000000000000003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      </c>
      <c r="AC369" s="31">
        <f t="shared" si="467"/>
        <v>0</v>
      </c>
      <c r="AD369" s="31">
        <f t="shared" si="468"/>
        <v>0</v>
      </c>
      <c r="AE369" s="31">
        <f t="shared" si="469"/>
        <v>0</v>
      </c>
      <c r="AF369" s="31">
        <f t="shared" si="470"/>
        <v>0</v>
      </c>
      <c r="AG369" s="31">
        <f t="shared" si="471"/>
        <v>0</v>
      </c>
      <c r="AH369" s="26"/>
      <c r="AI369" s="17">
        <f t="shared" si="472"/>
        <v>0</v>
      </c>
      <c r="AJ369" s="17">
        <f t="shared" si="473"/>
        <v>0</v>
      </c>
      <c r="AK369" s="17">
        <f t="shared" si="474"/>
        <v>0</v>
      </c>
      <c r="AM369" s="31">
        <v>21</v>
      </c>
      <c r="AN369" s="31">
        <f>G369*0.745283018867924</f>
        <v>0</v>
      </c>
      <c r="AO369" s="31">
        <f>G369*(1-0.745283018867924)</f>
        <v>0</v>
      </c>
      <c r="AP369" s="27" t="s">
        <v>8</v>
      </c>
      <c r="AU369" s="31">
        <f t="shared" si="475"/>
        <v>0</v>
      </c>
      <c r="AV369" s="31">
        <f t="shared" si="476"/>
        <v>0</v>
      </c>
      <c r="AW369" s="31">
        <f t="shared" si="477"/>
        <v>0</v>
      </c>
      <c r="AX369" s="32" t="s">
        <v>1197</v>
      </c>
      <c r="AY369" s="32" t="s">
        <v>1214</v>
      </c>
      <c r="AZ369" s="26" t="s">
        <v>1215</v>
      </c>
      <c r="BB369" s="31">
        <f t="shared" si="478"/>
        <v>0</v>
      </c>
      <c r="BC369" s="31">
        <f t="shared" si="479"/>
        <v>0</v>
      </c>
      <c r="BD369" s="31">
        <v>0</v>
      </c>
      <c r="BE369" s="31">
        <f t="shared" si="480"/>
        <v>0.00030000000000000003</v>
      </c>
      <c r="BG369" s="17">
        <f t="shared" si="481"/>
        <v>0</v>
      </c>
      <c r="BH369" s="17">
        <f t="shared" si="482"/>
        <v>0</v>
      </c>
      <c r="BI369" s="17">
        <f t="shared" si="483"/>
        <v>0</v>
      </c>
    </row>
    <row r="370" spans="1:61" ht="12.75">
      <c r="A370" s="4" t="s">
        <v>318</v>
      </c>
      <c r="B370" s="4"/>
      <c r="C370" s="4" t="s">
        <v>678</v>
      </c>
      <c r="D370" s="71" t="s">
        <v>1060</v>
      </c>
      <c r="E370" s="4" t="s">
        <v>1126</v>
      </c>
      <c r="F370" s="17">
        <v>6</v>
      </c>
      <c r="G370" s="148">
        <v>0</v>
      </c>
      <c r="H370" s="17">
        <f t="shared" si="460"/>
        <v>0</v>
      </c>
      <c r="I370" s="17">
        <f t="shared" si="461"/>
        <v>0</v>
      </c>
      <c r="J370" s="17">
        <f t="shared" si="462"/>
        <v>0</v>
      </c>
      <c r="K370" s="17">
        <v>6E-05</v>
      </c>
      <c r="L370" s="17">
        <f t="shared" si="463"/>
        <v>0.00036</v>
      </c>
      <c r="Y370" s="31">
        <f t="shared" si="464"/>
        <v>0</v>
      </c>
      <c r="AA370" s="31">
        <f t="shared" si="465"/>
        <v>0</v>
      </c>
      <c r="AB370" s="31">
        <f t="shared" si="466"/>
        <v>0</v>
      </c>
      <c r="AC370" s="31">
        <f t="shared" si="467"/>
        <v>0</v>
      </c>
      <c r="AD370" s="31">
        <f t="shared" si="468"/>
        <v>0</v>
      </c>
      <c r="AE370" s="31">
        <f t="shared" si="469"/>
        <v>0</v>
      </c>
      <c r="AF370" s="31">
        <f t="shared" si="470"/>
        <v>0</v>
      </c>
      <c r="AG370" s="31">
        <f t="shared" si="471"/>
        <v>0</v>
      </c>
      <c r="AH370" s="26"/>
      <c r="AI370" s="17">
        <f t="shared" si="472"/>
        <v>0</v>
      </c>
      <c r="AJ370" s="17">
        <f t="shared" si="473"/>
        <v>0</v>
      </c>
      <c r="AK370" s="17">
        <f t="shared" si="474"/>
        <v>0</v>
      </c>
      <c r="AM370" s="31">
        <v>21</v>
      </c>
      <c r="AN370" s="31">
        <f>G370*0.830188679245283</f>
        <v>0</v>
      </c>
      <c r="AO370" s="31">
        <f>G370*(1-0.830188679245283)</f>
        <v>0</v>
      </c>
      <c r="AP370" s="27" t="s">
        <v>8</v>
      </c>
      <c r="AU370" s="31">
        <f t="shared" si="475"/>
        <v>0</v>
      </c>
      <c r="AV370" s="31">
        <f t="shared" si="476"/>
        <v>0</v>
      </c>
      <c r="AW370" s="31">
        <f t="shared" si="477"/>
        <v>0</v>
      </c>
      <c r="AX370" s="32" t="s">
        <v>1197</v>
      </c>
      <c r="AY370" s="32" t="s">
        <v>1214</v>
      </c>
      <c r="AZ370" s="26" t="s">
        <v>1215</v>
      </c>
      <c r="BB370" s="31">
        <f t="shared" si="478"/>
        <v>0</v>
      </c>
      <c r="BC370" s="31">
        <f t="shared" si="479"/>
        <v>0</v>
      </c>
      <c r="BD370" s="31">
        <v>0</v>
      </c>
      <c r="BE370" s="31">
        <f t="shared" si="480"/>
        <v>0.00036</v>
      </c>
      <c r="BG370" s="17">
        <f t="shared" si="481"/>
        <v>0</v>
      </c>
      <c r="BH370" s="17">
        <f t="shared" si="482"/>
        <v>0</v>
      </c>
      <c r="BI370" s="17">
        <f t="shared" si="483"/>
        <v>0</v>
      </c>
    </row>
    <row r="371" spans="1:61" ht="12.75">
      <c r="A371" s="4" t="s">
        <v>319</v>
      </c>
      <c r="B371" s="4"/>
      <c r="C371" s="4" t="s">
        <v>679</v>
      </c>
      <c r="D371" s="71" t="s">
        <v>1288</v>
      </c>
      <c r="E371" s="4" t="s">
        <v>1126</v>
      </c>
      <c r="F371" s="17">
        <v>1</v>
      </c>
      <c r="G371" s="148">
        <v>0</v>
      </c>
      <c r="H371" s="17">
        <f t="shared" si="460"/>
        <v>0</v>
      </c>
      <c r="I371" s="17">
        <f t="shared" si="461"/>
        <v>0</v>
      </c>
      <c r="J371" s="17">
        <f t="shared" si="462"/>
        <v>0</v>
      </c>
      <c r="K371" s="17">
        <v>0</v>
      </c>
      <c r="L371" s="17">
        <f t="shared" si="463"/>
        <v>0</v>
      </c>
      <c r="Y371" s="31">
        <f t="shared" si="464"/>
        <v>0</v>
      </c>
      <c r="AA371" s="31">
        <f t="shared" si="465"/>
        <v>0</v>
      </c>
      <c r="AB371" s="31">
        <f t="shared" si="466"/>
        <v>0</v>
      </c>
      <c r="AC371" s="31">
        <f t="shared" si="467"/>
        <v>0</v>
      </c>
      <c r="AD371" s="31">
        <f t="shared" si="468"/>
        <v>0</v>
      </c>
      <c r="AE371" s="31">
        <f t="shared" si="469"/>
        <v>0</v>
      </c>
      <c r="AF371" s="31">
        <f t="shared" si="470"/>
        <v>0</v>
      </c>
      <c r="AG371" s="31">
        <f t="shared" si="471"/>
        <v>0</v>
      </c>
      <c r="AH371" s="26"/>
      <c r="AI371" s="17">
        <f t="shared" si="472"/>
        <v>0</v>
      </c>
      <c r="AJ371" s="17">
        <f t="shared" si="473"/>
        <v>0</v>
      </c>
      <c r="AK371" s="17">
        <f t="shared" si="474"/>
        <v>0</v>
      </c>
      <c r="AM371" s="31">
        <v>21</v>
      </c>
      <c r="AN371" s="31">
        <f>G371*0.8</f>
        <v>0</v>
      </c>
      <c r="AO371" s="31">
        <f>G371*(1-0.8)</f>
        <v>0</v>
      </c>
      <c r="AP371" s="27" t="s">
        <v>8</v>
      </c>
      <c r="AU371" s="31">
        <f t="shared" si="475"/>
        <v>0</v>
      </c>
      <c r="AV371" s="31">
        <f t="shared" si="476"/>
        <v>0</v>
      </c>
      <c r="AW371" s="31">
        <f t="shared" si="477"/>
        <v>0</v>
      </c>
      <c r="AX371" s="32" t="s">
        <v>1197</v>
      </c>
      <c r="AY371" s="32" t="s">
        <v>1214</v>
      </c>
      <c r="AZ371" s="26" t="s">
        <v>1215</v>
      </c>
      <c r="BB371" s="31">
        <f t="shared" si="478"/>
        <v>0</v>
      </c>
      <c r="BC371" s="31">
        <f t="shared" si="479"/>
        <v>0</v>
      </c>
      <c r="BD371" s="31">
        <v>0</v>
      </c>
      <c r="BE371" s="31">
        <f t="shared" si="480"/>
        <v>0</v>
      </c>
      <c r="BG371" s="17">
        <f t="shared" si="481"/>
        <v>0</v>
      </c>
      <c r="BH371" s="17">
        <f t="shared" si="482"/>
        <v>0</v>
      </c>
      <c r="BI371" s="17">
        <f t="shared" si="483"/>
        <v>0</v>
      </c>
    </row>
    <row r="372" spans="1:61" ht="12.75">
      <c r="A372" s="4" t="s">
        <v>1291</v>
      </c>
      <c r="B372" s="4"/>
      <c r="C372" s="4" t="s">
        <v>1292</v>
      </c>
      <c r="D372" s="71" t="s">
        <v>1293</v>
      </c>
      <c r="E372" s="4" t="s">
        <v>1126</v>
      </c>
      <c r="F372" s="17">
        <v>3</v>
      </c>
      <c r="G372" s="148">
        <v>0</v>
      </c>
      <c r="H372" s="17">
        <f>F372*AN372</f>
        <v>0</v>
      </c>
      <c r="I372" s="17">
        <f>F372*AO372</f>
        <v>0</v>
      </c>
      <c r="J372" s="17">
        <f>F372*G372</f>
        <v>0</v>
      </c>
      <c r="K372" s="17">
        <v>0</v>
      </c>
      <c r="L372" s="17">
        <f>F372*K372</f>
        <v>0</v>
      </c>
      <c r="Y372" s="31">
        <f>IF(AP372="5",BI372,0)</f>
        <v>0</v>
      </c>
      <c r="AA372" s="31">
        <f>IF(AP372="1",BG372,0)</f>
        <v>0</v>
      </c>
      <c r="AB372" s="31">
        <f>IF(AP372="1",BH372,0)</f>
        <v>0</v>
      </c>
      <c r="AC372" s="31">
        <f>IF(AP372="7",BG372,0)</f>
        <v>0</v>
      </c>
      <c r="AD372" s="31">
        <f>IF(AP372="7",BH372,0)</f>
        <v>0</v>
      </c>
      <c r="AE372" s="31">
        <f>IF(AP372="2",BG372,0)</f>
        <v>0</v>
      </c>
      <c r="AF372" s="31">
        <f>IF(AP372="2",BH372,0)</f>
        <v>0</v>
      </c>
      <c r="AG372" s="31">
        <f>IF(AP372="0",BI372,0)</f>
        <v>0</v>
      </c>
      <c r="AH372" s="26"/>
      <c r="AI372" s="17">
        <f>IF(AM372=0,J372,0)</f>
        <v>0</v>
      </c>
      <c r="AJ372" s="17">
        <f>IF(AM372=15,J372,0)</f>
        <v>0</v>
      </c>
      <c r="AK372" s="17">
        <f>IF(AM372=21,J372,0)</f>
        <v>0</v>
      </c>
      <c r="AM372" s="31">
        <v>21</v>
      </c>
      <c r="AN372" s="31">
        <f>G372*0.8</f>
        <v>0</v>
      </c>
      <c r="AO372" s="31">
        <f>G372*(1-0.8)</f>
        <v>0</v>
      </c>
      <c r="AP372" s="27" t="s">
        <v>8</v>
      </c>
      <c r="AU372" s="31">
        <f>AV372+AW372</f>
        <v>0</v>
      </c>
      <c r="AV372" s="31">
        <f>F372*AN372</f>
        <v>0</v>
      </c>
      <c r="AW372" s="31">
        <f>F372*AO372</f>
        <v>0</v>
      </c>
      <c r="AX372" s="32" t="s">
        <v>1197</v>
      </c>
      <c r="AY372" s="32" t="s">
        <v>1214</v>
      </c>
      <c r="AZ372" s="26" t="s">
        <v>1215</v>
      </c>
      <c r="BB372" s="31">
        <f>AV372+AW372</f>
        <v>0</v>
      </c>
      <c r="BC372" s="31">
        <f>G372/(100-BD372)*100</f>
        <v>0</v>
      </c>
      <c r="BD372" s="31">
        <v>0</v>
      </c>
      <c r="BE372" s="31">
        <f>L372</f>
        <v>0</v>
      </c>
      <c r="BG372" s="17">
        <f>F372*AN372</f>
        <v>0</v>
      </c>
      <c r="BH372" s="17">
        <f>F372*AO372</f>
        <v>0</v>
      </c>
      <c r="BI372" s="17">
        <f>F372*G372</f>
        <v>0</v>
      </c>
    </row>
    <row r="373" spans="1:61" ht="12.75">
      <c r="A373" s="4" t="s">
        <v>320</v>
      </c>
      <c r="B373" s="4"/>
      <c r="C373" s="4" t="s">
        <v>680</v>
      </c>
      <c r="D373" s="71" t="s">
        <v>1290</v>
      </c>
      <c r="E373" s="4" t="s">
        <v>1126</v>
      </c>
      <c r="F373" s="17">
        <v>3</v>
      </c>
      <c r="G373" s="148">
        <v>0</v>
      </c>
      <c r="H373" s="17">
        <f t="shared" si="460"/>
        <v>0</v>
      </c>
      <c r="I373" s="17">
        <f t="shared" si="461"/>
        <v>0</v>
      </c>
      <c r="J373" s="17">
        <f t="shared" si="462"/>
        <v>0</v>
      </c>
      <c r="K373" s="17">
        <v>0</v>
      </c>
      <c r="L373" s="17">
        <f t="shared" si="463"/>
        <v>0</v>
      </c>
      <c r="Y373" s="31">
        <f t="shared" si="464"/>
        <v>0</v>
      </c>
      <c r="AA373" s="31">
        <f t="shared" si="465"/>
        <v>0</v>
      </c>
      <c r="AB373" s="31">
        <f t="shared" si="466"/>
        <v>0</v>
      </c>
      <c r="AC373" s="31">
        <f t="shared" si="467"/>
        <v>0</v>
      </c>
      <c r="AD373" s="31">
        <f t="shared" si="468"/>
        <v>0</v>
      </c>
      <c r="AE373" s="31">
        <f t="shared" si="469"/>
        <v>0</v>
      </c>
      <c r="AF373" s="31">
        <f t="shared" si="470"/>
        <v>0</v>
      </c>
      <c r="AG373" s="31">
        <f t="shared" si="471"/>
        <v>0</v>
      </c>
      <c r="AH373" s="26"/>
      <c r="AI373" s="17">
        <f t="shared" si="472"/>
        <v>0</v>
      </c>
      <c r="AJ373" s="17">
        <f t="shared" si="473"/>
        <v>0</v>
      </c>
      <c r="AK373" s="17">
        <f t="shared" si="474"/>
        <v>0</v>
      </c>
      <c r="AM373" s="31">
        <v>21</v>
      </c>
      <c r="AN373" s="31">
        <f>G373*0.644444444444444</f>
        <v>0</v>
      </c>
      <c r="AO373" s="31">
        <f>G373*(1-0.644444444444444)</f>
        <v>0</v>
      </c>
      <c r="AP373" s="27" t="s">
        <v>8</v>
      </c>
      <c r="AU373" s="31">
        <f t="shared" si="475"/>
        <v>0</v>
      </c>
      <c r="AV373" s="31">
        <f t="shared" si="476"/>
        <v>0</v>
      </c>
      <c r="AW373" s="31">
        <f t="shared" si="477"/>
        <v>0</v>
      </c>
      <c r="AX373" s="32" t="s">
        <v>1197</v>
      </c>
      <c r="AY373" s="32" t="s">
        <v>1214</v>
      </c>
      <c r="AZ373" s="26" t="s">
        <v>1215</v>
      </c>
      <c r="BB373" s="31">
        <f t="shared" si="478"/>
        <v>0</v>
      </c>
      <c r="BC373" s="31">
        <f t="shared" si="479"/>
        <v>0</v>
      </c>
      <c r="BD373" s="31">
        <v>0</v>
      </c>
      <c r="BE373" s="31">
        <f t="shared" si="480"/>
        <v>0</v>
      </c>
      <c r="BG373" s="17">
        <f t="shared" si="481"/>
        <v>0</v>
      </c>
      <c r="BH373" s="17">
        <f t="shared" si="482"/>
        <v>0</v>
      </c>
      <c r="BI373" s="17">
        <f t="shared" si="483"/>
        <v>0</v>
      </c>
    </row>
    <row r="374" spans="1:61" ht="12.75">
      <c r="A374" s="4" t="s">
        <v>321</v>
      </c>
      <c r="B374" s="4"/>
      <c r="C374" s="4" t="s">
        <v>681</v>
      </c>
      <c r="D374" s="71" t="s">
        <v>1061</v>
      </c>
      <c r="E374" s="4" t="s">
        <v>1126</v>
      </c>
      <c r="F374" s="17">
        <v>1</v>
      </c>
      <c r="G374" s="148">
        <v>0</v>
      </c>
      <c r="H374" s="17">
        <f t="shared" si="460"/>
        <v>0</v>
      </c>
      <c r="I374" s="17">
        <f t="shared" si="461"/>
        <v>0</v>
      </c>
      <c r="J374" s="17">
        <f t="shared" si="462"/>
        <v>0</v>
      </c>
      <c r="K374" s="17">
        <v>0</v>
      </c>
      <c r="L374" s="17">
        <f t="shared" si="463"/>
        <v>0</v>
      </c>
      <c r="Y374" s="31">
        <f t="shared" si="464"/>
        <v>0</v>
      </c>
      <c r="AA374" s="31">
        <f t="shared" si="465"/>
        <v>0</v>
      </c>
      <c r="AB374" s="31">
        <f t="shared" si="466"/>
        <v>0</v>
      </c>
      <c r="AC374" s="31">
        <f t="shared" si="467"/>
        <v>0</v>
      </c>
      <c r="AD374" s="31">
        <f t="shared" si="468"/>
        <v>0</v>
      </c>
      <c r="AE374" s="31">
        <f t="shared" si="469"/>
        <v>0</v>
      </c>
      <c r="AF374" s="31">
        <f t="shared" si="470"/>
        <v>0</v>
      </c>
      <c r="AG374" s="31">
        <f t="shared" si="471"/>
        <v>0</v>
      </c>
      <c r="AH374" s="26"/>
      <c r="AI374" s="17">
        <f t="shared" si="472"/>
        <v>0</v>
      </c>
      <c r="AJ374" s="17">
        <f t="shared" si="473"/>
        <v>0</v>
      </c>
      <c r="AK374" s="17">
        <f t="shared" si="474"/>
        <v>0</v>
      </c>
      <c r="AM374" s="31">
        <v>21</v>
      </c>
      <c r="AN374" s="31">
        <f>G374*0.8</f>
        <v>0</v>
      </c>
      <c r="AO374" s="31">
        <f>G374*(1-0.8)</f>
        <v>0</v>
      </c>
      <c r="AP374" s="27" t="s">
        <v>8</v>
      </c>
      <c r="AU374" s="31">
        <f t="shared" si="475"/>
        <v>0</v>
      </c>
      <c r="AV374" s="31">
        <f t="shared" si="476"/>
        <v>0</v>
      </c>
      <c r="AW374" s="31">
        <f t="shared" si="477"/>
        <v>0</v>
      </c>
      <c r="AX374" s="32" t="s">
        <v>1197</v>
      </c>
      <c r="AY374" s="32" t="s">
        <v>1214</v>
      </c>
      <c r="AZ374" s="26" t="s">
        <v>1215</v>
      </c>
      <c r="BB374" s="31">
        <f t="shared" si="478"/>
        <v>0</v>
      </c>
      <c r="BC374" s="31">
        <f t="shared" si="479"/>
        <v>0</v>
      </c>
      <c r="BD374" s="31">
        <v>0</v>
      </c>
      <c r="BE374" s="31">
        <f t="shared" si="480"/>
        <v>0</v>
      </c>
      <c r="BG374" s="17">
        <f t="shared" si="481"/>
        <v>0</v>
      </c>
      <c r="BH374" s="17">
        <f t="shared" si="482"/>
        <v>0</v>
      </c>
      <c r="BI374" s="17">
        <f t="shared" si="483"/>
        <v>0</v>
      </c>
    </row>
    <row r="375" spans="1:61" ht="25.5">
      <c r="A375" s="4" t="s">
        <v>322</v>
      </c>
      <c r="B375" s="4"/>
      <c r="C375" s="4" t="s">
        <v>682</v>
      </c>
      <c r="D375" s="71" t="s">
        <v>1062</v>
      </c>
      <c r="E375" s="4" t="s">
        <v>1126</v>
      </c>
      <c r="F375" s="17">
        <v>6</v>
      </c>
      <c r="G375" s="148">
        <v>0</v>
      </c>
      <c r="H375" s="17">
        <f t="shared" si="460"/>
        <v>0</v>
      </c>
      <c r="I375" s="17">
        <f t="shared" si="461"/>
        <v>0</v>
      </c>
      <c r="J375" s="17">
        <f t="shared" si="462"/>
        <v>0</v>
      </c>
      <c r="K375" s="17">
        <v>0</v>
      </c>
      <c r="L375" s="17">
        <f t="shared" si="463"/>
        <v>0</v>
      </c>
      <c r="Y375" s="31">
        <f t="shared" si="464"/>
        <v>0</v>
      </c>
      <c r="AA375" s="31">
        <f t="shared" si="465"/>
        <v>0</v>
      </c>
      <c r="AB375" s="31">
        <f t="shared" si="466"/>
        <v>0</v>
      </c>
      <c r="AC375" s="31">
        <f t="shared" si="467"/>
        <v>0</v>
      </c>
      <c r="AD375" s="31">
        <f t="shared" si="468"/>
        <v>0</v>
      </c>
      <c r="AE375" s="31">
        <f t="shared" si="469"/>
        <v>0</v>
      </c>
      <c r="AF375" s="31">
        <f t="shared" si="470"/>
        <v>0</v>
      </c>
      <c r="AG375" s="31">
        <f t="shared" si="471"/>
        <v>0</v>
      </c>
      <c r="AH375" s="26"/>
      <c r="AI375" s="17">
        <f t="shared" si="472"/>
        <v>0</v>
      </c>
      <c r="AJ375" s="17">
        <f t="shared" si="473"/>
        <v>0</v>
      </c>
      <c r="AK375" s="17">
        <f t="shared" si="474"/>
        <v>0</v>
      </c>
      <c r="AM375" s="31">
        <v>21</v>
      </c>
      <c r="AN375" s="31">
        <f>G375*0.796178343949045</f>
        <v>0</v>
      </c>
      <c r="AO375" s="31">
        <f>G375*(1-0.796178343949045)</f>
        <v>0</v>
      </c>
      <c r="AP375" s="27" t="s">
        <v>8</v>
      </c>
      <c r="AU375" s="31">
        <f t="shared" si="475"/>
        <v>0</v>
      </c>
      <c r="AV375" s="31">
        <f t="shared" si="476"/>
        <v>0</v>
      </c>
      <c r="AW375" s="31">
        <f t="shared" si="477"/>
        <v>0</v>
      </c>
      <c r="AX375" s="32" t="s">
        <v>1197</v>
      </c>
      <c r="AY375" s="32" t="s">
        <v>1214</v>
      </c>
      <c r="AZ375" s="26" t="s">
        <v>1215</v>
      </c>
      <c r="BB375" s="31">
        <f t="shared" si="478"/>
        <v>0</v>
      </c>
      <c r="BC375" s="31">
        <f t="shared" si="479"/>
        <v>0</v>
      </c>
      <c r="BD375" s="31">
        <v>0</v>
      </c>
      <c r="BE375" s="31">
        <f t="shared" si="480"/>
        <v>0</v>
      </c>
      <c r="BG375" s="17">
        <f t="shared" si="481"/>
        <v>0</v>
      </c>
      <c r="BH375" s="17">
        <f t="shared" si="482"/>
        <v>0</v>
      </c>
      <c r="BI375" s="17">
        <f t="shared" si="483"/>
        <v>0</v>
      </c>
    </row>
    <row r="376" spans="1:61" ht="12.75">
      <c r="A376" s="4" t="s">
        <v>323</v>
      </c>
      <c r="B376" s="4"/>
      <c r="C376" s="4" t="s">
        <v>683</v>
      </c>
      <c r="D376" s="71" t="s">
        <v>1063</v>
      </c>
      <c r="E376" s="4" t="s">
        <v>1126</v>
      </c>
      <c r="F376" s="17">
        <v>25</v>
      </c>
      <c r="G376" s="148">
        <v>0</v>
      </c>
      <c r="H376" s="17">
        <f t="shared" si="460"/>
        <v>0</v>
      </c>
      <c r="I376" s="17">
        <f t="shared" si="461"/>
        <v>0</v>
      </c>
      <c r="J376" s="17">
        <f t="shared" si="462"/>
        <v>0</v>
      </c>
      <c r="K376" s="17">
        <v>4E-05</v>
      </c>
      <c r="L376" s="17">
        <f t="shared" si="463"/>
        <v>0.001</v>
      </c>
      <c r="Y376" s="31">
        <f t="shared" si="464"/>
        <v>0</v>
      </c>
      <c r="AA376" s="31">
        <f t="shared" si="465"/>
        <v>0</v>
      </c>
      <c r="AB376" s="31">
        <f t="shared" si="466"/>
        <v>0</v>
      </c>
      <c r="AC376" s="31">
        <f t="shared" si="467"/>
        <v>0</v>
      </c>
      <c r="AD376" s="31">
        <f t="shared" si="468"/>
        <v>0</v>
      </c>
      <c r="AE376" s="31">
        <f t="shared" si="469"/>
        <v>0</v>
      </c>
      <c r="AF376" s="31">
        <f t="shared" si="470"/>
        <v>0</v>
      </c>
      <c r="AG376" s="31">
        <f t="shared" si="471"/>
        <v>0</v>
      </c>
      <c r="AH376" s="26"/>
      <c r="AI376" s="17">
        <f t="shared" si="472"/>
        <v>0</v>
      </c>
      <c r="AJ376" s="17">
        <f t="shared" si="473"/>
        <v>0</v>
      </c>
      <c r="AK376" s="17">
        <f t="shared" si="474"/>
        <v>0</v>
      </c>
      <c r="AM376" s="31">
        <v>21</v>
      </c>
      <c r="AN376" s="31">
        <f>G376*0.813559322033898</f>
        <v>0</v>
      </c>
      <c r="AO376" s="31">
        <f>G376*(1-0.813559322033898)</f>
        <v>0</v>
      </c>
      <c r="AP376" s="27" t="s">
        <v>8</v>
      </c>
      <c r="AU376" s="31">
        <f t="shared" si="475"/>
        <v>0</v>
      </c>
      <c r="AV376" s="31">
        <f t="shared" si="476"/>
        <v>0</v>
      </c>
      <c r="AW376" s="31">
        <f t="shared" si="477"/>
        <v>0</v>
      </c>
      <c r="AX376" s="32" t="s">
        <v>1197</v>
      </c>
      <c r="AY376" s="32" t="s">
        <v>1214</v>
      </c>
      <c r="AZ376" s="26" t="s">
        <v>1215</v>
      </c>
      <c r="BB376" s="31">
        <f t="shared" si="478"/>
        <v>0</v>
      </c>
      <c r="BC376" s="31">
        <f t="shared" si="479"/>
        <v>0</v>
      </c>
      <c r="BD376" s="31">
        <v>0</v>
      </c>
      <c r="BE376" s="31">
        <f t="shared" si="480"/>
        <v>0.001</v>
      </c>
      <c r="BG376" s="17">
        <f t="shared" si="481"/>
        <v>0</v>
      </c>
      <c r="BH376" s="17">
        <f t="shared" si="482"/>
        <v>0</v>
      </c>
      <c r="BI376" s="17">
        <f t="shared" si="483"/>
        <v>0</v>
      </c>
    </row>
    <row r="377" spans="1:61" ht="12.75">
      <c r="A377" s="4" t="s">
        <v>324</v>
      </c>
      <c r="B377" s="4"/>
      <c r="C377" s="4" t="s">
        <v>684</v>
      </c>
      <c r="D377" s="71" t="s">
        <v>1064</v>
      </c>
      <c r="E377" s="4" t="s">
        <v>1126</v>
      </c>
      <c r="F377" s="17">
        <v>10</v>
      </c>
      <c r="G377" s="148">
        <v>0</v>
      </c>
      <c r="H377" s="17">
        <f t="shared" si="460"/>
        <v>0</v>
      </c>
      <c r="I377" s="17">
        <f t="shared" si="461"/>
        <v>0</v>
      </c>
      <c r="J377" s="17">
        <f t="shared" si="462"/>
        <v>0</v>
      </c>
      <c r="K377" s="17">
        <v>9E-05</v>
      </c>
      <c r="L377" s="17">
        <f t="shared" si="463"/>
        <v>0.0009000000000000001</v>
      </c>
      <c r="Y377" s="31">
        <f t="shared" si="464"/>
        <v>0</v>
      </c>
      <c r="AA377" s="31">
        <f t="shared" si="465"/>
        <v>0</v>
      </c>
      <c r="AB377" s="31">
        <f t="shared" si="466"/>
        <v>0</v>
      </c>
      <c r="AC377" s="31">
        <f t="shared" si="467"/>
        <v>0</v>
      </c>
      <c r="AD377" s="31">
        <f t="shared" si="468"/>
        <v>0</v>
      </c>
      <c r="AE377" s="31">
        <f t="shared" si="469"/>
        <v>0</v>
      </c>
      <c r="AF377" s="31">
        <f t="shared" si="470"/>
        <v>0</v>
      </c>
      <c r="AG377" s="31">
        <f t="shared" si="471"/>
        <v>0</v>
      </c>
      <c r="AH377" s="26"/>
      <c r="AI377" s="17">
        <f t="shared" si="472"/>
        <v>0</v>
      </c>
      <c r="AJ377" s="17">
        <f t="shared" si="473"/>
        <v>0</v>
      </c>
      <c r="AK377" s="17">
        <f t="shared" si="474"/>
        <v>0</v>
      </c>
      <c r="AM377" s="31">
        <v>21</v>
      </c>
      <c r="AN377" s="31">
        <f>G377*0.825396825396825</f>
        <v>0</v>
      </c>
      <c r="AO377" s="31">
        <f>G377*(1-0.825396825396825)</f>
        <v>0</v>
      </c>
      <c r="AP377" s="27" t="s">
        <v>8</v>
      </c>
      <c r="AU377" s="31">
        <f t="shared" si="475"/>
        <v>0</v>
      </c>
      <c r="AV377" s="31">
        <f t="shared" si="476"/>
        <v>0</v>
      </c>
      <c r="AW377" s="31">
        <f t="shared" si="477"/>
        <v>0</v>
      </c>
      <c r="AX377" s="32" t="s">
        <v>1197</v>
      </c>
      <c r="AY377" s="32" t="s">
        <v>1214</v>
      </c>
      <c r="AZ377" s="26" t="s">
        <v>1215</v>
      </c>
      <c r="BB377" s="31">
        <f t="shared" si="478"/>
        <v>0</v>
      </c>
      <c r="BC377" s="31">
        <f t="shared" si="479"/>
        <v>0</v>
      </c>
      <c r="BD377" s="31">
        <v>0</v>
      </c>
      <c r="BE377" s="31">
        <f t="shared" si="480"/>
        <v>0.0009000000000000001</v>
      </c>
      <c r="BG377" s="17">
        <f t="shared" si="481"/>
        <v>0</v>
      </c>
      <c r="BH377" s="17">
        <f t="shared" si="482"/>
        <v>0</v>
      </c>
      <c r="BI377" s="17">
        <f t="shared" si="483"/>
        <v>0</v>
      </c>
    </row>
    <row r="378" spans="1:61" ht="12.75">
      <c r="A378" s="4" t="s">
        <v>325</v>
      </c>
      <c r="B378" s="4"/>
      <c r="C378" s="4" t="s">
        <v>685</v>
      </c>
      <c r="D378" s="71" t="s">
        <v>1065</v>
      </c>
      <c r="E378" s="4" t="s">
        <v>1126</v>
      </c>
      <c r="F378" s="17">
        <v>2</v>
      </c>
      <c r="G378" s="148">
        <v>0</v>
      </c>
      <c r="H378" s="17">
        <f t="shared" si="460"/>
        <v>0</v>
      </c>
      <c r="I378" s="17">
        <f t="shared" si="461"/>
        <v>0</v>
      </c>
      <c r="J378" s="17">
        <f t="shared" si="462"/>
        <v>0</v>
      </c>
      <c r="K378" s="17">
        <v>0</v>
      </c>
      <c r="L378" s="17">
        <f t="shared" si="463"/>
        <v>0</v>
      </c>
      <c r="Y378" s="31">
        <f t="shared" si="464"/>
        <v>0</v>
      </c>
      <c r="AA378" s="31">
        <f t="shared" si="465"/>
        <v>0</v>
      </c>
      <c r="AB378" s="31">
        <f t="shared" si="466"/>
        <v>0</v>
      </c>
      <c r="AC378" s="31">
        <f t="shared" si="467"/>
        <v>0</v>
      </c>
      <c r="AD378" s="31">
        <f t="shared" si="468"/>
        <v>0</v>
      </c>
      <c r="AE378" s="31">
        <f t="shared" si="469"/>
        <v>0</v>
      </c>
      <c r="AF378" s="31">
        <f t="shared" si="470"/>
        <v>0</v>
      </c>
      <c r="AG378" s="31">
        <f t="shared" si="471"/>
        <v>0</v>
      </c>
      <c r="AH378" s="26"/>
      <c r="AI378" s="17">
        <f t="shared" si="472"/>
        <v>0</v>
      </c>
      <c r="AJ378" s="17">
        <f t="shared" si="473"/>
        <v>0</v>
      </c>
      <c r="AK378" s="17">
        <f t="shared" si="474"/>
        <v>0</v>
      </c>
      <c r="AM378" s="31">
        <v>21</v>
      </c>
      <c r="AN378" s="31">
        <f>G378*0.821114369501466</f>
        <v>0</v>
      </c>
      <c r="AO378" s="31">
        <f>G378*(1-0.821114369501466)</f>
        <v>0</v>
      </c>
      <c r="AP378" s="27" t="s">
        <v>8</v>
      </c>
      <c r="AU378" s="31">
        <f t="shared" si="475"/>
        <v>0</v>
      </c>
      <c r="AV378" s="31">
        <f t="shared" si="476"/>
        <v>0</v>
      </c>
      <c r="AW378" s="31">
        <f t="shared" si="477"/>
        <v>0</v>
      </c>
      <c r="AX378" s="32" t="s">
        <v>1197</v>
      </c>
      <c r="AY378" s="32" t="s">
        <v>1214</v>
      </c>
      <c r="AZ378" s="26" t="s">
        <v>1215</v>
      </c>
      <c r="BB378" s="31">
        <f t="shared" si="478"/>
        <v>0</v>
      </c>
      <c r="BC378" s="31">
        <f t="shared" si="479"/>
        <v>0</v>
      </c>
      <c r="BD378" s="31">
        <v>0</v>
      </c>
      <c r="BE378" s="31">
        <f t="shared" si="480"/>
        <v>0</v>
      </c>
      <c r="BG378" s="17">
        <f t="shared" si="481"/>
        <v>0</v>
      </c>
      <c r="BH378" s="17">
        <f t="shared" si="482"/>
        <v>0</v>
      </c>
      <c r="BI378" s="17">
        <f t="shared" si="483"/>
        <v>0</v>
      </c>
    </row>
    <row r="379" spans="1:61" ht="12.75">
      <c r="A379" s="4" t="s">
        <v>326</v>
      </c>
      <c r="B379" s="4"/>
      <c r="C379" s="4" t="s">
        <v>686</v>
      </c>
      <c r="D379" s="71" t="s">
        <v>1066</v>
      </c>
      <c r="E379" s="4" t="s">
        <v>1126</v>
      </c>
      <c r="F379" s="17">
        <v>3</v>
      </c>
      <c r="G379" s="148">
        <v>0</v>
      </c>
      <c r="H379" s="17">
        <f t="shared" si="460"/>
        <v>0</v>
      </c>
      <c r="I379" s="17">
        <f t="shared" si="461"/>
        <v>0</v>
      </c>
      <c r="J379" s="17">
        <f t="shared" si="462"/>
        <v>0</v>
      </c>
      <c r="K379" s="17">
        <v>0</v>
      </c>
      <c r="L379" s="17">
        <f t="shared" si="463"/>
        <v>0</v>
      </c>
      <c r="Y379" s="31">
        <f t="shared" si="464"/>
        <v>0</v>
      </c>
      <c r="AA379" s="31">
        <f t="shared" si="465"/>
        <v>0</v>
      </c>
      <c r="AB379" s="31">
        <f t="shared" si="466"/>
        <v>0</v>
      </c>
      <c r="AC379" s="31">
        <f t="shared" si="467"/>
        <v>0</v>
      </c>
      <c r="AD379" s="31">
        <f t="shared" si="468"/>
        <v>0</v>
      </c>
      <c r="AE379" s="31">
        <f t="shared" si="469"/>
        <v>0</v>
      </c>
      <c r="AF379" s="31">
        <f t="shared" si="470"/>
        <v>0</v>
      </c>
      <c r="AG379" s="31">
        <f t="shared" si="471"/>
        <v>0</v>
      </c>
      <c r="AH379" s="26"/>
      <c r="AI379" s="17">
        <f t="shared" si="472"/>
        <v>0</v>
      </c>
      <c r="AJ379" s="17">
        <f t="shared" si="473"/>
        <v>0</v>
      </c>
      <c r="AK379" s="17">
        <f t="shared" si="474"/>
        <v>0</v>
      </c>
      <c r="AM379" s="31">
        <v>21</v>
      </c>
      <c r="AN379" s="31">
        <f>G379*0.831024930747922</f>
        <v>0</v>
      </c>
      <c r="AO379" s="31">
        <f>G379*(1-0.831024930747922)</f>
        <v>0</v>
      </c>
      <c r="AP379" s="27" t="s">
        <v>8</v>
      </c>
      <c r="AU379" s="31">
        <f t="shared" si="475"/>
        <v>0</v>
      </c>
      <c r="AV379" s="31">
        <f t="shared" si="476"/>
        <v>0</v>
      </c>
      <c r="AW379" s="31">
        <f t="shared" si="477"/>
        <v>0</v>
      </c>
      <c r="AX379" s="32" t="s">
        <v>1197</v>
      </c>
      <c r="AY379" s="32" t="s">
        <v>1214</v>
      </c>
      <c r="AZ379" s="26" t="s">
        <v>1215</v>
      </c>
      <c r="BB379" s="31">
        <f t="shared" si="478"/>
        <v>0</v>
      </c>
      <c r="BC379" s="31">
        <f t="shared" si="479"/>
        <v>0</v>
      </c>
      <c r="BD379" s="31">
        <v>0</v>
      </c>
      <c r="BE379" s="31">
        <f t="shared" si="480"/>
        <v>0</v>
      </c>
      <c r="BG379" s="17">
        <f t="shared" si="481"/>
        <v>0</v>
      </c>
      <c r="BH379" s="17">
        <f t="shared" si="482"/>
        <v>0</v>
      </c>
      <c r="BI379" s="17">
        <f t="shared" si="483"/>
        <v>0</v>
      </c>
    </row>
    <row r="380" spans="1:61" ht="12.75">
      <c r="A380" s="4" t="s">
        <v>327</v>
      </c>
      <c r="B380" s="4"/>
      <c r="C380" s="4" t="s">
        <v>687</v>
      </c>
      <c r="D380" s="71" t="s">
        <v>1067</v>
      </c>
      <c r="E380" s="4" t="s">
        <v>1126</v>
      </c>
      <c r="F380" s="17">
        <v>58</v>
      </c>
      <c r="G380" s="148">
        <v>0</v>
      </c>
      <c r="H380" s="17">
        <f t="shared" si="460"/>
        <v>0</v>
      </c>
      <c r="I380" s="17">
        <f t="shared" si="461"/>
        <v>0</v>
      </c>
      <c r="J380" s="17">
        <f t="shared" si="462"/>
        <v>0</v>
      </c>
      <c r="K380" s="17">
        <v>6E-05</v>
      </c>
      <c r="L380" s="17">
        <f t="shared" si="463"/>
        <v>0.00348</v>
      </c>
      <c r="Y380" s="31">
        <f t="shared" si="464"/>
        <v>0</v>
      </c>
      <c r="AA380" s="31">
        <f t="shared" si="465"/>
        <v>0</v>
      </c>
      <c r="AB380" s="31">
        <f t="shared" si="466"/>
        <v>0</v>
      </c>
      <c r="AC380" s="31">
        <f t="shared" si="467"/>
        <v>0</v>
      </c>
      <c r="AD380" s="31">
        <f t="shared" si="468"/>
        <v>0</v>
      </c>
      <c r="AE380" s="31">
        <f t="shared" si="469"/>
        <v>0</v>
      </c>
      <c r="AF380" s="31">
        <f t="shared" si="470"/>
        <v>0</v>
      </c>
      <c r="AG380" s="31">
        <f t="shared" si="471"/>
        <v>0</v>
      </c>
      <c r="AH380" s="26"/>
      <c r="AI380" s="17">
        <f t="shared" si="472"/>
        <v>0</v>
      </c>
      <c r="AJ380" s="17">
        <f t="shared" si="473"/>
        <v>0</v>
      </c>
      <c r="AK380" s="17">
        <f t="shared" si="474"/>
        <v>0</v>
      </c>
      <c r="AM380" s="31">
        <v>21</v>
      </c>
      <c r="AN380" s="31">
        <f>G380*0.711864406779661</f>
        <v>0</v>
      </c>
      <c r="AO380" s="31">
        <f>G380*(1-0.711864406779661)</f>
        <v>0</v>
      </c>
      <c r="AP380" s="27" t="s">
        <v>8</v>
      </c>
      <c r="AU380" s="31">
        <f t="shared" si="475"/>
        <v>0</v>
      </c>
      <c r="AV380" s="31">
        <f t="shared" si="476"/>
        <v>0</v>
      </c>
      <c r="AW380" s="31">
        <f t="shared" si="477"/>
        <v>0</v>
      </c>
      <c r="AX380" s="32" t="s">
        <v>1197</v>
      </c>
      <c r="AY380" s="32" t="s">
        <v>1214</v>
      </c>
      <c r="AZ380" s="26" t="s">
        <v>1215</v>
      </c>
      <c r="BB380" s="31">
        <f t="shared" si="478"/>
        <v>0</v>
      </c>
      <c r="BC380" s="31">
        <f t="shared" si="479"/>
        <v>0</v>
      </c>
      <c r="BD380" s="31">
        <v>0</v>
      </c>
      <c r="BE380" s="31">
        <f t="shared" si="480"/>
        <v>0.00348</v>
      </c>
      <c r="BG380" s="17">
        <f t="shared" si="481"/>
        <v>0</v>
      </c>
      <c r="BH380" s="17">
        <f t="shared" si="482"/>
        <v>0</v>
      </c>
      <c r="BI380" s="17">
        <f t="shared" si="483"/>
        <v>0</v>
      </c>
    </row>
    <row r="381" spans="1:61" ht="12.75">
      <c r="A381" s="4" t="s">
        <v>328</v>
      </c>
      <c r="B381" s="4"/>
      <c r="C381" s="4" t="s">
        <v>688</v>
      </c>
      <c r="D381" s="71" t="s">
        <v>1068</v>
      </c>
      <c r="E381" s="4" t="s">
        <v>1126</v>
      </c>
      <c r="F381" s="17">
        <v>1</v>
      </c>
      <c r="G381" s="148">
        <v>0</v>
      </c>
      <c r="H381" s="17">
        <f t="shared" si="460"/>
        <v>0</v>
      </c>
      <c r="I381" s="17">
        <f t="shared" si="461"/>
        <v>0</v>
      </c>
      <c r="J381" s="17">
        <f t="shared" si="462"/>
        <v>0</v>
      </c>
      <c r="K381" s="17">
        <v>0</v>
      </c>
      <c r="L381" s="17">
        <f t="shared" si="463"/>
        <v>0</v>
      </c>
      <c r="Y381" s="31">
        <f t="shared" si="464"/>
        <v>0</v>
      </c>
      <c r="AA381" s="31">
        <f t="shared" si="465"/>
        <v>0</v>
      </c>
      <c r="AB381" s="31">
        <f t="shared" si="466"/>
        <v>0</v>
      </c>
      <c r="AC381" s="31">
        <f t="shared" si="467"/>
        <v>0</v>
      </c>
      <c r="AD381" s="31">
        <f t="shared" si="468"/>
        <v>0</v>
      </c>
      <c r="AE381" s="31">
        <f t="shared" si="469"/>
        <v>0</v>
      </c>
      <c r="AF381" s="31">
        <f t="shared" si="470"/>
        <v>0</v>
      </c>
      <c r="AG381" s="31">
        <f t="shared" si="471"/>
        <v>0</v>
      </c>
      <c r="AH381" s="26"/>
      <c r="AI381" s="17">
        <f t="shared" si="472"/>
        <v>0</v>
      </c>
      <c r="AJ381" s="17">
        <f t="shared" si="473"/>
        <v>0</v>
      </c>
      <c r="AK381" s="17">
        <f t="shared" si="474"/>
        <v>0</v>
      </c>
      <c r="AM381" s="31">
        <v>21</v>
      </c>
      <c r="AN381" s="31">
        <f>G381*0.717948717948718</f>
        <v>0</v>
      </c>
      <c r="AO381" s="31">
        <f>G381*(1-0.717948717948718)</f>
        <v>0</v>
      </c>
      <c r="AP381" s="27" t="s">
        <v>8</v>
      </c>
      <c r="AU381" s="31">
        <f t="shared" si="475"/>
        <v>0</v>
      </c>
      <c r="AV381" s="31">
        <f t="shared" si="476"/>
        <v>0</v>
      </c>
      <c r="AW381" s="31">
        <f t="shared" si="477"/>
        <v>0</v>
      </c>
      <c r="AX381" s="32" t="s">
        <v>1197</v>
      </c>
      <c r="AY381" s="32" t="s">
        <v>1214</v>
      </c>
      <c r="AZ381" s="26" t="s">
        <v>1215</v>
      </c>
      <c r="BB381" s="31">
        <f t="shared" si="478"/>
        <v>0</v>
      </c>
      <c r="BC381" s="31">
        <f t="shared" si="479"/>
        <v>0</v>
      </c>
      <c r="BD381" s="31">
        <v>0</v>
      </c>
      <c r="BE381" s="31">
        <f t="shared" si="480"/>
        <v>0</v>
      </c>
      <c r="BG381" s="17">
        <f t="shared" si="481"/>
        <v>0</v>
      </c>
      <c r="BH381" s="17">
        <f t="shared" si="482"/>
        <v>0</v>
      </c>
      <c r="BI381" s="17">
        <f t="shared" si="483"/>
        <v>0</v>
      </c>
    </row>
    <row r="382" spans="1:61" ht="12.75">
      <c r="A382" s="4" t="s">
        <v>329</v>
      </c>
      <c r="B382" s="4"/>
      <c r="C382" s="4" t="s">
        <v>689</v>
      </c>
      <c r="D382" s="71" t="s">
        <v>1069</v>
      </c>
      <c r="E382" s="4" t="s">
        <v>1126</v>
      </c>
      <c r="F382" s="17">
        <v>3</v>
      </c>
      <c r="G382" s="148">
        <v>0</v>
      </c>
      <c r="H382" s="17">
        <f t="shared" si="460"/>
        <v>0</v>
      </c>
      <c r="I382" s="17">
        <f t="shared" si="461"/>
        <v>0</v>
      </c>
      <c r="J382" s="17">
        <f t="shared" si="462"/>
        <v>0</v>
      </c>
      <c r="K382" s="17">
        <v>0</v>
      </c>
      <c r="L382" s="17">
        <f t="shared" si="463"/>
        <v>0</v>
      </c>
      <c r="Y382" s="31">
        <f t="shared" si="464"/>
        <v>0</v>
      </c>
      <c r="AA382" s="31">
        <f t="shared" si="465"/>
        <v>0</v>
      </c>
      <c r="AB382" s="31">
        <f t="shared" si="466"/>
        <v>0</v>
      </c>
      <c r="AC382" s="31">
        <f t="shared" si="467"/>
        <v>0</v>
      </c>
      <c r="AD382" s="31">
        <f t="shared" si="468"/>
        <v>0</v>
      </c>
      <c r="AE382" s="31">
        <f t="shared" si="469"/>
        <v>0</v>
      </c>
      <c r="AF382" s="31">
        <f t="shared" si="470"/>
        <v>0</v>
      </c>
      <c r="AG382" s="31">
        <f t="shared" si="471"/>
        <v>0</v>
      </c>
      <c r="AH382" s="26"/>
      <c r="AI382" s="17">
        <f t="shared" si="472"/>
        <v>0</v>
      </c>
      <c r="AJ382" s="17">
        <f t="shared" si="473"/>
        <v>0</v>
      </c>
      <c r="AK382" s="17">
        <f t="shared" si="474"/>
        <v>0</v>
      </c>
      <c r="AM382" s="31">
        <v>21</v>
      </c>
      <c r="AN382" s="31">
        <f>G382*0.731182795698925</f>
        <v>0</v>
      </c>
      <c r="AO382" s="31">
        <f>G382*(1-0.731182795698925)</f>
        <v>0</v>
      </c>
      <c r="AP382" s="27" t="s">
        <v>8</v>
      </c>
      <c r="AU382" s="31">
        <f t="shared" si="475"/>
        <v>0</v>
      </c>
      <c r="AV382" s="31">
        <f t="shared" si="476"/>
        <v>0</v>
      </c>
      <c r="AW382" s="31">
        <f t="shared" si="477"/>
        <v>0</v>
      </c>
      <c r="AX382" s="32" t="s">
        <v>1197</v>
      </c>
      <c r="AY382" s="32" t="s">
        <v>1214</v>
      </c>
      <c r="AZ382" s="26" t="s">
        <v>1215</v>
      </c>
      <c r="BB382" s="31">
        <f t="shared" si="478"/>
        <v>0</v>
      </c>
      <c r="BC382" s="31">
        <f t="shared" si="479"/>
        <v>0</v>
      </c>
      <c r="BD382" s="31">
        <v>0</v>
      </c>
      <c r="BE382" s="31">
        <f t="shared" si="480"/>
        <v>0</v>
      </c>
      <c r="BG382" s="17">
        <f t="shared" si="481"/>
        <v>0</v>
      </c>
      <c r="BH382" s="17">
        <f t="shared" si="482"/>
        <v>0</v>
      </c>
      <c r="BI382" s="17">
        <f t="shared" si="483"/>
        <v>0</v>
      </c>
    </row>
    <row r="383" spans="1:61" ht="12.75">
      <c r="A383" s="4" t="s">
        <v>330</v>
      </c>
      <c r="B383" s="4"/>
      <c r="C383" s="4" t="s">
        <v>690</v>
      </c>
      <c r="D383" s="71" t="s">
        <v>1070</v>
      </c>
      <c r="E383" s="4" t="s">
        <v>1126</v>
      </c>
      <c r="F383" s="17">
        <v>7</v>
      </c>
      <c r="G383" s="148">
        <v>0</v>
      </c>
      <c r="H383" s="17">
        <f t="shared" si="460"/>
        <v>0</v>
      </c>
      <c r="I383" s="17">
        <f t="shared" si="461"/>
        <v>0</v>
      </c>
      <c r="J383" s="17">
        <f t="shared" si="462"/>
        <v>0</v>
      </c>
      <c r="K383" s="17">
        <v>0</v>
      </c>
      <c r="L383" s="17">
        <f t="shared" si="463"/>
        <v>0</v>
      </c>
      <c r="Y383" s="31">
        <f t="shared" si="464"/>
        <v>0</v>
      </c>
      <c r="AA383" s="31">
        <f t="shared" si="465"/>
        <v>0</v>
      </c>
      <c r="AB383" s="31">
        <f t="shared" si="466"/>
        <v>0</v>
      </c>
      <c r="AC383" s="31">
        <f t="shared" si="467"/>
        <v>0</v>
      </c>
      <c r="AD383" s="31">
        <f t="shared" si="468"/>
        <v>0</v>
      </c>
      <c r="AE383" s="31">
        <f t="shared" si="469"/>
        <v>0</v>
      </c>
      <c r="AF383" s="31">
        <f t="shared" si="470"/>
        <v>0</v>
      </c>
      <c r="AG383" s="31">
        <f t="shared" si="471"/>
        <v>0</v>
      </c>
      <c r="AH383" s="26"/>
      <c r="AI383" s="17">
        <f t="shared" si="472"/>
        <v>0</v>
      </c>
      <c r="AJ383" s="17">
        <f t="shared" si="473"/>
        <v>0</v>
      </c>
      <c r="AK383" s="17">
        <f t="shared" si="474"/>
        <v>0</v>
      </c>
      <c r="AM383" s="31">
        <v>21</v>
      </c>
      <c r="AN383" s="31">
        <f>G383*0.528301886792453</f>
        <v>0</v>
      </c>
      <c r="AO383" s="31">
        <f>G383*(1-0.528301886792453)</f>
        <v>0</v>
      </c>
      <c r="AP383" s="27" t="s">
        <v>8</v>
      </c>
      <c r="AU383" s="31">
        <f t="shared" si="475"/>
        <v>0</v>
      </c>
      <c r="AV383" s="31">
        <f t="shared" si="476"/>
        <v>0</v>
      </c>
      <c r="AW383" s="31">
        <f t="shared" si="477"/>
        <v>0</v>
      </c>
      <c r="AX383" s="32" t="s">
        <v>1197</v>
      </c>
      <c r="AY383" s="32" t="s">
        <v>1214</v>
      </c>
      <c r="AZ383" s="26" t="s">
        <v>1215</v>
      </c>
      <c r="BB383" s="31">
        <f t="shared" si="478"/>
        <v>0</v>
      </c>
      <c r="BC383" s="31">
        <f t="shared" si="479"/>
        <v>0</v>
      </c>
      <c r="BD383" s="31">
        <v>0</v>
      </c>
      <c r="BE383" s="31">
        <f t="shared" si="480"/>
        <v>0</v>
      </c>
      <c r="BG383" s="17">
        <f t="shared" si="481"/>
        <v>0</v>
      </c>
      <c r="BH383" s="17">
        <f t="shared" si="482"/>
        <v>0</v>
      </c>
      <c r="BI383" s="17">
        <f t="shared" si="483"/>
        <v>0</v>
      </c>
    </row>
    <row r="384" spans="1:61" ht="12.75">
      <c r="A384" s="4" t="s">
        <v>331</v>
      </c>
      <c r="B384" s="4"/>
      <c r="C384" s="4" t="s">
        <v>691</v>
      </c>
      <c r="D384" s="71" t="s">
        <v>1071</v>
      </c>
      <c r="E384" s="4" t="s">
        <v>1126</v>
      </c>
      <c r="F384" s="17">
        <v>5</v>
      </c>
      <c r="G384" s="148">
        <v>0</v>
      </c>
      <c r="H384" s="17">
        <f t="shared" si="460"/>
        <v>0</v>
      </c>
      <c r="I384" s="17">
        <f t="shared" si="461"/>
        <v>0</v>
      </c>
      <c r="J384" s="17">
        <f t="shared" si="462"/>
        <v>0</v>
      </c>
      <c r="K384" s="17">
        <v>0</v>
      </c>
      <c r="L384" s="17">
        <f t="shared" si="463"/>
        <v>0</v>
      </c>
      <c r="Y384" s="31">
        <f t="shared" si="464"/>
        <v>0</v>
      </c>
      <c r="AA384" s="31">
        <f t="shared" si="465"/>
        <v>0</v>
      </c>
      <c r="AB384" s="31">
        <f t="shared" si="466"/>
        <v>0</v>
      </c>
      <c r="AC384" s="31">
        <f t="shared" si="467"/>
        <v>0</v>
      </c>
      <c r="AD384" s="31">
        <f t="shared" si="468"/>
        <v>0</v>
      </c>
      <c r="AE384" s="31">
        <f t="shared" si="469"/>
        <v>0</v>
      </c>
      <c r="AF384" s="31">
        <f t="shared" si="470"/>
        <v>0</v>
      </c>
      <c r="AG384" s="31">
        <f t="shared" si="471"/>
        <v>0</v>
      </c>
      <c r="AH384" s="26"/>
      <c r="AI384" s="17">
        <f t="shared" si="472"/>
        <v>0</v>
      </c>
      <c r="AJ384" s="17">
        <f t="shared" si="473"/>
        <v>0</v>
      </c>
      <c r="AK384" s="17">
        <f t="shared" si="474"/>
        <v>0</v>
      </c>
      <c r="AM384" s="31">
        <v>21</v>
      </c>
      <c r="AN384" s="31">
        <f>G384*0.605633802816901</f>
        <v>0</v>
      </c>
      <c r="AO384" s="31">
        <f>G384*(1-0.605633802816901)</f>
        <v>0</v>
      </c>
      <c r="AP384" s="27" t="s">
        <v>8</v>
      </c>
      <c r="AU384" s="31">
        <f t="shared" si="475"/>
        <v>0</v>
      </c>
      <c r="AV384" s="31">
        <f t="shared" si="476"/>
        <v>0</v>
      </c>
      <c r="AW384" s="31">
        <f t="shared" si="477"/>
        <v>0</v>
      </c>
      <c r="AX384" s="32" t="s">
        <v>1197</v>
      </c>
      <c r="AY384" s="32" t="s">
        <v>1214</v>
      </c>
      <c r="AZ384" s="26" t="s">
        <v>1215</v>
      </c>
      <c r="BB384" s="31">
        <f t="shared" si="478"/>
        <v>0</v>
      </c>
      <c r="BC384" s="31">
        <f t="shared" si="479"/>
        <v>0</v>
      </c>
      <c r="BD384" s="31">
        <v>0</v>
      </c>
      <c r="BE384" s="31">
        <f t="shared" si="480"/>
        <v>0</v>
      </c>
      <c r="BG384" s="17">
        <f t="shared" si="481"/>
        <v>0</v>
      </c>
      <c r="BH384" s="17">
        <f t="shared" si="482"/>
        <v>0</v>
      </c>
      <c r="BI384" s="17">
        <f t="shared" si="483"/>
        <v>0</v>
      </c>
    </row>
    <row r="385" spans="1:61" ht="12.75">
      <c r="A385" s="4" t="s">
        <v>332</v>
      </c>
      <c r="B385" s="4"/>
      <c r="C385" s="4" t="s">
        <v>692</v>
      </c>
      <c r="D385" s="71" t="s">
        <v>1072</v>
      </c>
      <c r="E385" s="4" t="s">
        <v>1120</v>
      </c>
      <c r="F385" s="17">
        <v>9</v>
      </c>
      <c r="G385" s="148">
        <v>0</v>
      </c>
      <c r="H385" s="17">
        <f t="shared" si="460"/>
        <v>0</v>
      </c>
      <c r="I385" s="17">
        <f t="shared" si="461"/>
        <v>0</v>
      </c>
      <c r="J385" s="17">
        <f t="shared" si="462"/>
        <v>0</v>
      </c>
      <c r="K385" s="17">
        <v>0.00039</v>
      </c>
      <c r="L385" s="17">
        <f t="shared" si="463"/>
        <v>0.00351</v>
      </c>
      <c r="N385" s="75"/>
      <c r="Y385" s="31">
        <f t="shared" si="464"/>
        <v>0</v>
      </c>
      <c r="AA385" s="31">
        <f t="shared" si="465"/>
        <v>0</v>
      </c>
      <c r="AB385" s="31">
        <f t="shared" si="466"/>
        <v>0</v>
      </c>
      <c r="AC385" s="31">
        <f t="shared" si="467"/>
        <v>0</v>
      </c>
      <c r="AD385" s="31">
        <f t="shared" si="468"/>
        <v>0</v>
      </c>
      <c r="AE385" s="31">
        <f t="shared" si="469"/>
        <v>0</v>
      </c>
      <c r="AF385" s="31">
        <f t="shared" si="470"/>
        <v>0</v>
      </c>
      <c r="AG385" s="31">
        <f t="shared" si="471"/>
        <v>0</v>
      </c>
      <c r="AH385" s="26"/>
      <c r="AI385" s="17">
        <f t="shared" si="472"/>
        <v>0</v>
      </c>
      <c r="AJ385" s="17">
        <f t="shared" si="473"/>
        <v>0</v>
      </c>
      <c r="AK385" s="17">
        <f t="shared" si="474"/>
        <v>0</v>
      </c>
      <c r="AM385" s="31">
        <v>21</v>
      </c>
      <c r="AN385" s="31">
        <f>G385*0.738829113924051</f>
        <v>0</v>
      </c>
      <c r="AO385" s="31">
        <f>G385*(1-0.738829113924051)</f>
        <v>0</v>
      </c>
      <c r="AP385" s="27" t="s">
        <v>8</v>
      </c>
      <c r="AU385" s="31">
        <f t="shared" si="475"/>
        <v>0</v>
      </c>
      <c r="AV385" s="31">
        <f t="shared" si="476"/>
        <v>0</v>
      </c>
      <c r="AW385" s="31">
        <f t="shared" si="477"/>
        <v>0</v>
      </c>
      <c r="AX385" s="32" t="s">
        <v>1197</v>
      </c>
      <c r="AY385" s="32" t="s">
        <v>1214</v>
      </c>
      <c r="AZ385" s="26" t="s">
        <v>1215</v>
      </c>
      <c r="BB385" s="31">
        <f t="shared" si="478"/>
        <v>0</v>
      </c>
      <c r="BC385" s="31">
        <f t="shared" si="479"/>
        <v>0</v>
      </c>
      <c r="BD385" s="31">
        <v>0</v>
      </c>
      <c r="BE385" s="31">
        <f t="shared" si="480"/>
        <v>0.00351</v>
      </c>
      <c r="BG385" s="17">
        <f t="shared" si="481"/>
        <v>0</v>
      </c>
      <c r="BH385" s="17">
        <f t="shared" si="482"/>
        <v>0</v>
      </c>
      <c r="BI385" s="17">
        <f t="shared" si="483"/>
        <v>0</v>
      </c>
    </row>
    <row r="386" spans="1:61" ht="12.75">
      <c r="A386" s="4" t="s">
        <v>333</v>
      </c>
      <c r="B386" s="4"/>
      <c r="C386" s="4" t="s">
        <v>693</v>
      </c>
      <c r="D386" s="71" t="s">
        <v>1073</v>
      </c>
      <c r="E386" s="4" t="s">
        <v>1126</v>
      </c>
      <c r="F386" s="17">
        <v>3</v>
      </c>
      <c r="G386" s="148">
        <v>0</v>
      </c>
      <c r="H386" s="17">
        <f t="shared" si="460"/>
        <v>0</v>
      </c>
      <c r="I386" s="17">
        <f t="shared" si="461"/>
        <v>0</v>
      </c>
      <c r="J386" s="17">
        <f t="shared" si="462"/>
        <v>0</v>
      </c>
      <c r="K386" s="17">
        <v>0</v>
      </c>
      <c r="L386" s="17">
        <f t="shared" si="463"/>
        <v>0</v>
      </c>
      <c r="Y386" s="31">
        <f t="shared" si="464"/>
        <v>0</v>
      </c>
      <c r="AA386" s="31">
        <f t="shared" si="465"/>
        <v>0</v>
      </c>
      <c r="AB386" s="31">
        <f t="shared" si="466"/>
        <v>0</v>
      </c>
      <c r="AC386" s="31">
        <f t="shared" si="467"/>
        <v>0</v>
      </c>
      <c r="AD386" s="31">
        <f t="shared" si="468"/>
        <v>0</v>
      </c>
      <c r="AE386" s="31">
        <f t="shared" si="469"/>
        <v>0</v>
      </c>
      <c r="AF386" s="31">
        <f t="shared" si="470"/>
        <v>0</v>
      </c>
      <c r="AG386" s="31">
        <f t="shared" si="471"/>
        <v>0</v>
      </c>
      <c r="AH386" s="26"/>
      <c r="AI386" s="17">
        <f t="shared" si="472"/>
        <v>0</v>
      </c>
      <c r="AJ386" s="17">
        <f t="shared" si="473"/>
        <v>0</v>
      </c>
      <c r="AK386" s="17">
        <f t="shared" si="474"/>
        <v>0</v>
      </c>
      <c r="AM386" s="31">
        <v>21</v>
      </c>
      <c r="AN386" s="31">
        <f>G386*0.862068965517241</f>
        <v>0</v>
      </c>
      <c r="AO386" s="31">
        <f>G386*(1-0.862068965517241)</f>
        <v>0</v>
      </c>
      <c r="AP386" s="27" t="s">
        <v>8</v>
      </c>
      <c r="AU386" s="31">
        <f t="shared" si="475"/>
        <v>0</v>
      </c>
      <c r="AV386" s="31">
        <f t="shared" si="476"/>
        <v>0</v>
      </c>
      <c r="AW386" s="31">
        <f t="shared" si="477"/>
        <v>0</v>
      </c>
      <c r="AX386" s="32" t="s">
        <v>1197</v>
      </c>
      <c r="AY386" s="32" t="s">
        <v>1214</v>
      </c>
      <c r="AZ386" s="26" t="s">
        <v>1215</v>
      </c>
      <c r="BB386" s="31">
        <f t="shared" si="478"/>
        <v>0</v>
      </c>
      <c r="BC386" s="31">
        <f t="shared" si="479"/>
        <v>0</v>
      </c>
      <c r="BD386" s="31">
        <v>0</v>
      </c>
      <c r="BE386" s="31">
        <f t="shared" si="480"/>
        <v>0</v>
      </c>
      <c r="BG386" s="17">
        <f t="shared" si="481"/>
        <v>0</v>
      </c>
      <c r="BH386" s="17">
        <f t="shared" si="482"/>
        <v>0</v>
      </c>
      <c r="BI386" s="17">
        <f t="shared" si="483"/>
        <v>0</v>
      </c>
    </row>
    <row r="387" spans="1:61" ht="12.75">
      <c r="A387" s="4" t="s">
        <v>334</v>
      </c>
      <c r="B387" s="4"/>
      <c r="C387" s="4" t="s">
        <v>694</v>
      </c>
      <c r="D387" s="71" t="s">
        <v>1074</v>
      </c>
      <c r="E387" s="4" t="s">
        <v>1126</v>
      </c>
      <c r="F387" s="17">
        <v>105</v>
      </c>
      <c r="G387" s="148">
        <v>0</v>
      </c>
      <c r="H387" s="17">
        <f t="shared" si="460"/>
        <v>0</v>
      </c>
      <c r="I387" s="17">
        <f t="shared" si="461"/>
        <v>0</v>
      </c>
      <c r="J387" s="17">
        <f t="shared" si="462"/>
        <v>0</v>
      </c>
      <c r="K387" s="17">
        <v>0.00017</v>
      </c>
      <c r="L387" s="17">
        <f t="shared" si="463"/>
        <v>0.01785</v>
      </c>
      <c r="Y387" s="31">
        <f t="shared" si="464"/>
        <v>0</v>
      </c>
      <c r="AA387" s="31">
        <f t="shared" si="465"/>
        <v>0</v>
      </c>
      <c r="AB387" s="31">
        <f t="shared" si="466"/>
        <v>0</v>
      </c>
      <c r="AC387" s="31">
        <f t="shared" si="467"/>
        <v>0</v>
      </c>
      <c r="AD387" s="31">
        <f t="shared" si="468"/>
        <v>0</v>
      </c>
      <c r="AE387" s="31">
        <f t="shared" si="469"/>
        <v>0</v>
      </c>
      <c r="AF387" s="31">
        <f t="shared" si="470"/>
        <v>0</v>
      </c>
      <c r="AG387" s="31">
        <f t="shared" si="471"/>
        <v>0</v>
      </c>
      <c r="AH387" s="26"/>
      <c r="AI387" s="17">
        <f t="shared" si="472"/>
        <v>0</v>
      </c>
      <c r="AJ387" s="17">
        <f t="shared" si="473"/>
        <v>0</v>
      </c>
      <c r="AK387" s="17">
        <f t="shared" si="474"/>
        <v>0</v>
      </c>
      <c r="AM387" s="31">
        <v>21</v>
      </c>
      <c r="AN387" s="31">
        <f>G387*0.230769230769231</f>
        <v>0</v>
      </c>
      <c r="AO387" s="31">
        <f>G387*(1-0.230769230769231)</f>
        <v>0</v>
      </c>
      <c r="AP387" s="27" t="s">
        <v>8</v>
      </c>
      <c r="AU387" s="31">
        <f t="shared" si="475"/>
        <v>0</v>
      </c>
      <c r="AV387" s="31">
        <f t="shared" si="476"/>
        <v>0</v>
      </c>
      <c r="AW387" s="31">
        <f t="shared" si="477"/>
        <v>0</v>
      </c>
      <c r="AX387" s="32" t="s">
        <v>1197</v>
      </c>
      <c r="AY387" s="32" t="s">
        <v>1214</v>
      </c>
      <c r="AZ387" s="26" t="s">
        <v>1215</v>
      </c>
      <c r="BB387" s="31">
        <f t="shared" si="478"/>
        <v>0</v>
      </c>
      <c r="BC387" s="31">
        <f t="shared" si="479"/>
        <v>0</v>
      </c>
      <c r="BD387" s="31">
        <v>0</v>
      </c>
      <c r="BE387" s="31">
        <f t="shared" si="480"/>
        <v>0.01785</v>
      </c>
      <c r="BG387" s="17">
        <f t="shared" si="481"/>
        <v>0</v>
      </c>
      <c r="BH387" s="17">
        <f t="shared" si="482"/>
        <v>0</v>
      </c>
      <c r="BI387" s="17">
        <f t="shared" si="483"/>
        <v>0</v>
      </c>
    </row>
    <row r="388" spans="1:61" ht="12.75">
      <c r="A388" s="4" t="s">
        <v>335</v>
      </c>
      <c r="B388" s="4"/>
      <c r="C388" s="4" t="s">
        <v>695</v>
      </c>
      <c r="D388" s="71" t="s">
        <v>1075</v>
      </c>
      <c r="E388" s="4" t="s">
        <v>1126</v>
      </c>
      <c r="F388" s="17">
        <v>48</v>
      </c>
      <c r="G388" s="148">
        <v>0</v>
      </c>
      <c r="H388" s="17">
        <f t="shared" si="460"/>
        <v>0</v>
      </c>
      <c r="I388" s="17">
        <f t="shared" si="461"/>
        <v>0</v>
      </c>
      <c r="J388" s="17">
        <f t="shared" si="462"/>
        <v>0</v>
      </c>
      <c r="K388" s="17">
        <v>0</v>
      </c>
      <c r="L388" s="17">
        <f t="shared" si="463"/>
        <v>0</v>
      </c>
      <c r="Y388" s="31">
        <f t="shared" si="464"/>
        <v>0</v>
      </c>
      <c r="AA388" s="31">
        <f t="shared" si="465"/>
        <v>0</v>
      </c>
      <c r="AB388" s="31">
        <f t="shared" si="466"/>
        <v>0</v>
      </c>
      <c r="AC388" s="31">
        <f t="shared" si="467"/>
        <v>0</v>
      </c>
      <c r="AD388" s="31">
        <f t="shared" si="468"/>
        <v>0</v>
      </c>
      <c r="AE388" s="31">
        <f t="shared" si="469"/>
        <v>0</v>
      </c>
      <c r="AF388" s="31">
        <f t="shared" si="470"/>
        <v>0</v>
      </c>
      <c r="AG388" s="31">
        <f t="shared" si="471"/>
        <v>0</v>
      </c>
      <c r="AH388" s="26"/>
      <c r="AI388" s="17">
        <f t="shared" si="472"/>
        <v>0</v>
      </c>
      <c r="AJ388" s="17">
        <f t="shared" si="473"/>
        <v>0</v>
      </c>
      <c r="AK388" s="17">
        <f t="shared" si="474"/>
        <v>0</v>
      </c>
      <c r="AM388" s="31">
        <v>21</v>
      </c>
      <c r="AN388" s="31">
        <f>G388*0.177432769614638</f>
        <v>0</v>
      </c>
      <c r="AO388" s="31">
        <f>G388*(1-0.177432769614638)</f>
        <v>0</v>
      </c>
      <c r="AP388" s="27" t="s">
        <v>8</v>
      </c>
      <c r="AU388" s="31">
        <f t="shared" si="475"/>
        <v>0</v>
      </c>
      <c r="AV388" s="31">
        <f t="shared" si="476"/>
        <v>0</v>
      </c>
      <c r="AW388" s="31">
        <f t="shared" si="477"/>
        <v>0</v>
      </c>
      <c r="AX388" s="32" t="s">
        <v>1197</v>
      </c>
      <c r="AY388" s="32" t="s">
        <v>1214</v>
      </c>
      <c r="AZ388" s="26" t="s">
        <v>1215</v>
      </c>
      <c r="BB388" s="31">
        <f t="shared" si="478"/>
        <v>0</v>
      </c>
      <c r="BC388" s="31">
        <f t="shared" si="479"/>
        <v>0</v>
      </c>
      <c r="BD388" s="31">
        <v>0</v>
      </c>
      <c r="BE388" s="31">
        <f t="shared" si="480"/>
        <v>0</v>
      </c>
      <c r="BG388" s="17">
        <f t="shared" si="481"/>
        <v>0</v>
      </c>
      <c r="BH388" s="17">
        <f t="shared" si="482"/>
        <v>0</v>
      </c>
      <c r="BI388" s="17">
        <f t="shared" si="483"/>
        <v>0</v>
      </c>
    </row>
    <row r="389" spans="1:61" ht="12.75">
      <c r="A389" s="4" t="s">
        <v>336</v>
      </c>
      <c r="B389" s="4"/>
      <c r="C389" s="4" t="s">
        <v>696</v>
      </c>
      <c r="D389" s="71" t="s">
        <v>1076</v>
      </c>
      <c r="E389" s="4" t="s">
        <v>1126</v>
      </c>
      <c r="F389" s="17">
        <v>1</v>
      </c>
      <c r="G389" s="148">
        <v>0</v>
      </c>
      <c r="H389" s="17">
        <f t="shared" si="460"/>
        <v>0</v>
      </c>
      <c r="I389" s="17">
        <f t="shared" si="461"/>
        <v>0</v>
      </c>
      <c r="J389" s="17">
        <f t="shared" si="462"/>
        <v>0</v>
      </c>
      <c r="K389" s="17">
        <v>0</v>
      </c>
      <c r="L389" s="17">
        <f t="shared" si="463"/>
        <v>0</v>
      </c>
      <c r="Y389" s="31">
        <f t="shared" si="464"/>
        <v>0</v>
      </c>
      <c r="AA389" s="31">
        <f t="shared" si="465"/>
        <v>0</v>
      </c>
      <c r="AB389" s="31">
        <f t="shared" si="466"/>
        <v>0</v>
      </c>
      <c r="AC389" s="31">
        <f t="shared" si="467"/>
        <v>0</v>
      </c>
      <c r="AD389" s="31">
        <f t="shared" si="468"/>
        <v>0</v>
      </c>
      <c r="AE389" s="31">
        <f t="shared" si="469"/>
        <v>0</v>
      </c>
      <c r="AF389" s="31">
        <f t="shared" si="470"/>
        <v>0</v>
      </c>
      <c r="AG389" s="31">
        <f t="shared" si="471"/>
        <v>0</v>
      </c>
      <c r="AH389" s="26"/>
      <c r="AI389" s="17">
        <f t="shared" si="472"/>
        <v>0</v>
      </c>
      <c r="AJ389" s="17">
        <f t="shared" si="473"/>
        <v>0</v>
      </c>
      <c r="AK389" s="17">
        <f t="shared" si="474"/>
        <v>0</v>
      </c>
      <c r="AM389" s="31">
        <v>21</v>
      </c>
      <c r="AN389" s="31">
        <f>G389*0.444444444444444</f>
        <v>0</v>
      </c>
      <c r="AO389" s="31">
        <f>G389*(1-0.444444444444444)</f>
        <v>0</v>
      </c>
      <c r="AP389" s="27" t="s">
        <v>8</v>
      </c>
      <c r="AU389" s="31">
        <f t="shared" si="475"/>
        <v>0</v>
      </c>
      <c r="AV389" s="31">
        <f t="shared" si="476"/>
        <v>0</v>
      </c>
      <c r="AW389" s="31">
        <f t="shared" si="477"/>
        <v>0</v>
      </c>
      <c r="AX389" s="32" t="s">
        <v>1197</v>
      </c>
      <c r="AY389" s="32" t="s">
        <v>1214</v>
      </c>
      <c r="AZ389" s="26" t="s">
        <v>1215</v>
      </c>
      <c r="BB389" s="31">
        <f t="shared" si="478"/>
        <v>0</v>
      </c>
      <c r="BC389" s="31">
        <f t="shared" si="479"/>
        <v>0</v>
      </c>
      <c r="BD389" s="31">
        <v>0</v>
      </c>
      <c r="BE389" s="31">
        <f t="shared" si="480"/>
        <v>0</v>
      </c>
      <c r="BG389" s="17">
        <f t="shared" si="481"/>
        <v>0</v>
      </c>
      <c r="BH389" s="17">
        <f t="shared" si="482"/>
        <v>0</v>
      </c>
      <c r="BI389" s="17">
        <f t="shared" si="483"/>
        <v>0</v>
      </c>
    </row>
    <row r="390" spans="1:61" ht="12.75">
      <c r="A390" s="4" t="s">
        <v>337</v>
      </c>
      <c r="B390" s="4"/>
      <c r="C390" s="4" t="s">
        <v>697</v>
      </c>
      <c r="D390" s="71" t="s">
        <v>1077</v>
      </c>
      <c r="E390" s="4" t="s">
        <v>1123</v>
      </c>
      <c r="F390" s="17">
        <v>45</v>
      </c>
      <c r="G390" s="148">
        <v>0</v>
      </c>
      <c r="H390" s="17">
        <f t="shared" si="460"/>
        <v>0</v>
      </c>
      <c r="I390" s="17">
        <f t="shared" si="461"/>
        <v>0</v>
      </c>
      <c r="J390" s="17">
        <f t="shared" si="462"/>
        <v>0</v>
      </c>
      <c r="K390" s="17">
        <v>0.00011</v>
      </c>
      <c r="L390" s="17">
        <f t="shared" si="463"/>
        <v>0.00495</v>
      </c>
      <c r="Y390" s="31">
        <f t="shared" si="464"/>
        <v>0</v>
      </c>
      <c r="AA390" s="31">
        <f t="shared" si="465"/>
        <v>0</v>
      </c>
      <c r="AB390" s="31">
        <f t="shared" si="466"/>
        <v>0</v>
      </c>
      <c r="AC390" s="31">
        <f t="shared" si="467"/>
        <v>0</v>
      </c>
      <c r="AD390" s="31">
        <f t="shared" si="468"/>
        <v>0</v>
      </c>
      <c r="AE390" s="31">
        <f t="shared" si="469"/>
        <v>0</v>
      </c>
      <c r="AF390" s="31">
        <f t="shared" si="470"/>
        <v>0</v>
      </c>
      <c r="AG390" s="31">
        <f t="shared" si="471"/>
        <v>0</v>
      </c>
      <c r="AH390" s="26"/>
      <c r="AI390" s="17">
        <f t="shared" si="472"/>
        <v>0</v>
      </c>
      <c r="AJ390" s="17">
        <f t="shared" si="473"/>
        <v>0</v>
      </c>
      <c r="AK390" s="17">
        <f t="shared" si="474"/>
        <v>0</v>
      </c>
      <c r="AM390" s="31">
        <v>21</v>
      </c>
      <c r="AN390" s="31">
        <f>G390*0.711111111111111</f>
        <v>0</v>
      </c>
      <c r="AO390" s="31">
        <f>G390*(1-0.711111111111111)</f>
        <v>0</v>
      </c>
      <c r="AP390" s="27" t="s">
        <v>8</v>
      </c>
      <c r="AU390" s="31">
        <f t="shared" si="475"/>
        <v>0</v>
      </c>
      <c r="AV390" s="31">
        <f t="shared" si="476"/>
        <v>0</v>
      </c>
      <c r="AW390" s="31">
        <f t="shared" si="477"/>
        <v>0</v>
      </c>
      <c r="AX390" s="32" t="s">
        <v>1197</v>
      </c>
      <c r="AY390" s="32" t="s">
        <v>1214</v>
      </c>
      <c r="AZ390" s="26" t="s">
        <v>1215</v>
      </c>
      <c r="BB390" s="31">
        <f t="shared" si="478"/>
        <v>0</v>
      </c>
      <c r="BC390" s="31">
        <f t="shared" si="479"/>
        <v>0</v>
      </c>
      <c r="BD390" s="31">
        <v>0</v>
      </c>
      <c r="BE390" s="31">
        <f t="shared" si="480"/>
        <v>0.00495</v>
      </c>
      <c r="BG390" s="17">
        <f t="shared" si="481"/>
        <v>0</v>
      </c>
      <c r="BH390" s="17">
        <f t="shared" si="482"/>
        <v>0</v>
      </c>
      <c r="BI390" s="17">
        <f t="shared" si="483"/>
        <v>0</v>
      </c>
    </row>
    <row r="391" spans="1:61" ht="12.75">
      <c r="A391" s="4" t="s">
        <v>338</v>
      </c>
      <c r="B391" s="4"/>
      <c r="C391" s="4" t="s">
        <v>698</v>
      </c>
      <c r="D391" s="71" t="s">
        <v>1078</v>
      </c>
      <c r="E391" s="4" t="s">
        <v>1123</v>
      </c>
      <c r="F391" s="17">
        <v>20</v>
      </c>
      <c r="G391" s="148">
        <v>0</v>
      </c>
      <c r="H391" s="17">
        <f t="shared" si="460"/>
        <v>0</v>
      </c>
      <c r="I391" s="17">
        <f t="shared" si="461"/>
        <v>0</v>
      </c>
      <c r="J391" s="17">
        <f t="shared" si="462"/>
        <v>0</v>
      </c>
      <c r="K391" s="17">
        <v>0</v>
      </c>
      <c r="L391" s="17">
        <f t="shared" si="463"/>
        <v>0</v>
      </c>
      <c r="Y391" s="31">
        <f t="shared" si="464"/>
        <v>0</v>
      </c>
      <c r="AA391" s="31">
        <f t="shared" si="465"/>
        <v>0</v>
      </c>
      <c r="AB391" s="31">
        <f t="shared" si="466"/>
        <v>0</v>
      </c>
      <c r="AC391" s="31">
        <f t="shared" si="467"/>
        <v>0</v>
      </c>
      <c r="AD391" s="31">
        <f t="shared" si="468"/>
        <v>0</v>
      </c>
      <c r="AE391" s="31">
        <f t="shared" si="469"/>
        <v>0</v>
      </c>
      <c r="AF391" s="31">
        <f t="shared" si="470"/>
        <v>0</v>
      </c>
      <c r="AG391" s="31">
        <f t="shared" si="471"/>
        <v>0</v>
      </c>
      <c r="AH391" s="26"/>
      <c r="AI391" s="17">
        <f t="shared" si="472"/>
        <v>0</v>
      </c>
      <c r="AJ391" s="17">
        <f t="shared" si="473"/>
        <v>0</v>
      </c>
      <c r="AK391" s="17">
        <f t="shared" si="474"/>
        <v>0</v>
      </c>
      <c r="AM391" s="31">
        <v>21</v>
      </c>
      <c r="AN391" s="31">
        <f>G391*0.666666666666667</f>
        <v>0</v>
      </c>
      <c r="AO391" s="31">
        <f>G391*(1-0.666666666666667)</f>
        <v>0</v>
      </c>
      <c r="AP391" s="27" t="s">
        <v>8</v>
      </c>
      <c r="AU391" s="31">
        <f t="shared" si="475"/>
        <v>0</v>
      </c>
      <c r="AV391" s="31">
        <f t="shared" si="476"/>
        <v>0</v>
      </c>
      <c r="AW391" s="31">
        <f t="shared" si="477"/>
        <v>0</v>
      </c>
      <c r="AX391" s="32" t="s">
        <v>1197</v>
      </c>
      <c r="AY391" s="32" t="s">
        <v>1214</v>
      </c>
      <c r="AZ391" s="26" t="s">
        <v>1215</v>
      </c>
      <c r="BB391" s="31">
        <f t="shared" si="478"/>
        <v>0</v>
      </c>
      <c r="BC391" s="31">
        <f t="shared" si="479"/>
        <v>0</v>
      </c>
      <c r="BD391" s="31">
        <v>0</v>
      </c>
      <c r="BE391" s="31">
        <f t="shared" si="480"/>
        <v>0</v>
      </c>
      <c r="BG391" s="17">
        <f t="shared" si="481"/>
        <v>0</v>
      </c>
      <c r="BH391" s="17">
        <f t="shared" si="482"/>
        <v>0</v>
      </c>
      <c r="BI391" s="17">
        <f t="shared" si="483"/>
        <v>0</v>
      </c>
    </row>
    <row r="392" spans="1:61" ht="12.75">
      <c r="A392" s="4" t="s">
        <v>339</v>
      </c>
      <c r="B392" s="4"/>
      <c r="C392" s="4" t="s">
        <v>699</v>
      </c>
      <c r="D392" s="71" t="s">
        <v>1079</v>
      </c>
      <c r="E392" s="4" t="s">
        <v>1123</v>
      </c>
      <c r="F392" s="17">
        <v>180</v>
      </c>
      <c r="G392" s="148">
        <v>0</v>
      </c>
      <c r="H392" s="17">
        <f t="shared" si="460"/>
        <v>0</v>
      </c>
      <c r="I392" s="17">
        <f t="shared" si="461"/>
        <v>0</v>
      </c>
      <c r="J392" s="17">
        <f t="shared" si="462"/>
        <v>0</v>
      </c>
      <c r="K392" s="17">
        <v>0</v>
      </c>
      <c r="L392" s="17">
        <f t="shared" si="463"/>
        <v>0</v>
      </c>
      <c r="Y392" s="31">
        <f t="shared" si="464"/>
        <v>0</v>
      </c>
      <c r="AA392" s="31">
        <f t="shared" si="465"/>
        <v>0</v>
      </c>
      <c r="AB392" s="31">
        <f t="shared" si="466"/>
        <v>0</v>
      </c>
      <c r="AC392" s="31">
        <f t="shared" si="467"/>
        <v>0</v>
      </c>
      <c r="AD392" s="31">
        <f t="shared" si="468"/>
        <v>0</v>
      </c>
      <c r="AE392" s="31">
        <f t="shared" si="469"/>
        <v>0</v>
      </c>
      <c r="AF392" s="31">
        <f t="shared" si="470"/>
        <v>0</v>
      </c>
      <c r="AG392" s="31">
        <f t="shared" si="471"/>
        <v>0</v>
      </c>
      <c r="AH392" s="26"/>
      <c r="AI392" s="17">
        <f t="shared" si="472"/>
        <v>0</v>
      </c>
      <c r="AJ392" s="17">
        <f t="shared" si="473"/>
        <v>0</v>
      </c>
      <c r="AK392" s="17">
        <f t="shared" si="474"/>
        <v>0</v>
      </c>
      <c r="AM392" s="31">
        <v>21</v>
      </c>
      <c r="AN392" s="31">
        <f>G392*0.56</f>
        <v>0</v>
      </c>
      <c r="AO392" s="31">
        <f>G392*(1-0.56)</f>
        <v>0</v>
      </c>
      <c r="AP392" s="27" t="s">
        <v>8</v>
      </c>
      <c r="AU392" s="31">
        <f t="shared" si="475"/>
        <v>0</v>
      </c>
      <c r="AV392" s="31">
        <f t="shared" si="476"/>
        <v>0</v>
      </c>
      <c r="AW392" s="31">
        <f t="shared" si="477"/>
        <v>0</v>
      </c>
      <c r="AX392" s="32" t="s">
        <v>1197</v>
      </c>
      <c r="AY392" s="32" t="s">
        <v>1214</v>
      </c>
      <c r="AZ392" s="26" t="s">
        <v>1215</v>
      </c>
      <c r="BB392" s="31">
        <f t="shared" si="478"/>
        <v>0</v>
      </c>
      <c r="BC392" s="31">
        <f t="shared" si="479"/>
        <v>0</v>
      </c>
      <c r="BD392" s="31">
        <v>0</v>
      </c>
      <c r="BE392" s="31">
        <f t="shared" si="480"/>
        <v>0</v>
      </c>
      <c r="BG392" s="17">
        <f t="shared" si="481"/>
        <v>0</v>
      </c>
      <c r="BH392" s="17">
        <f t="shared" si="482"/>
        <v>0</v>
      </c>
      <c r="BI392" s="17">
        <f t="shared" si="483"/>
        <v>0</v>
      </c>
    </row>
    <row r="393" spans="1:61" ht="12.75">
      <c r="A393" s="4" t="s">
        <v>340</v>
      </c>
      <c r="B393" s="4"/>
      <c r="C393" s="4" t="s">
        <v>700</v>
      </c>
      <c r="D393" s="71" t="s">
        <v>1080</v>
      </c>
      <c r="E393" s="4" t="s">
        <v>1123</v>
      </c>
      <c r="F393" s="17">
        <v>295</v>
      </c>
      <c r="G393" s="148">
        <v>0</v>
      </c>
      <c r="H393" s="17">
        <f t="shared" si="460"/>
        <v>0</v>
      </c>
      <c r="I393" s="17">
        <f t="shared" si="461"/>
        <v>0</v>
      </c>
      <c r="J393" s="17">
        <f t="shared" si="462"/>
        <v>0</v>
      </c>
      <c r="K393" s="17">
        <v>0</v>
      </c>
      <c r="L393" s="17">
        <f t="shared" si="463"/>
        <v>0</v>
      </c>
      <c r="Y393" s="31">
        <f t="shared" si="464"/>
        <v>0</v>
      </c>
      <c r="AA393" s="31">
        <f t="shared" si="465"/>
        <v>0</v>
      </c>
      <c r="AB393" s="31">
        <f t="shared" si="466"/>
        <v>0</v>
      </c>
      <c r="AC393" s="31">
        <f t="shared" si="467"/>
        <v>0</v>
      </c>
      <c r="AD393" s="31">
        <f t="shared" si="468"/>
        <v>0</v>
      </c>
      <c r="AE393" s="31">
        <f t="shared" si="469"/>
        <v>0</v>
      </c>
      <c r="AF393" s="31">
        <f t="shared" si="470"/>
        <v>0</v>
      </c>
      <c r="AG393" s="31">
        <f t="shared" si="471"/>
        <v>0</v>
      </c>
      <c r="AH393" s="26"/>
      <c r="AI393" s="17">
        <f t="shared" si="472"/>
        <v>0</v>
      </c>
      <c r="AJ393" s="17">
        <f t="shared" si="473"/>
        <v>0</v>
      </c>
      <c r="AK393" s="17">
        <f t="shared" si="474"/>
        <v>0</v>
      </c>
      <c r="AM393" s="31">
        <v>21</v>
      </c>
      <c r="AN393" s="31">
        <f>G393*0.503597122302158</f>
        <v>0</v>
      </c>
      <c r="AO393" s="31">
        <f>G393*(1-0.503597122302158)</f>
        <v>0</v>
      </c>
      <c r="AP393" s="27" t="s">
        <v>8</v>
      </c>
      <c r="AU393" s="31">
        <f t="shared" si="475"/>
        <v>0</v>
      </c>
      <c r="AV393" s="31">
        <f t="shared" si="476"/>
        <v>0</v>
      </c>
      <c r="AW393" s="31">
        <f t="shared" si="477"/>
        <v>0</v>
      </c>
      <c r="AX393" s="32" t="s">
        <v>1197</v>
      </c>
      <c r="AY393" s="32" t="s">
        <v>1214</v>
      </c>
      <c r="AZ393" s="26" t="s">
        <v>1215</v>
      </c>
      <c r="BB393" s="31">
        <f t="shared" si="478"/>
        <v>0</v>
      </c>
      <c r="BC393" s="31">
        <f t="shared" si="479"/>
        <v>0</v>
      </c>
      <c r="BD393" s="31">
        <v>0</v>
      </c>
      <c r="BE393" s="31">
        <f t="shared" si="480"/>
        <v>0</v>
      </c>
      <c r="BG393" s="17">
        <f t="shared" si="481"/>
        <v>0</v>
      </c>
      <c r="BH393" s="17">
        <f t="shared" si="482"/>
        <v>0</v>
      </c>
      <c r="BI393" s="17">
        <f t="shared" si="483"/>
        <v>0</v>
      </c>
    </row>
    <row r="394" spans="1:61" ht="12.75">
      <c r="A394" s="4" t="s">
        <v>341</v>
      </c>
      <c r="B394" s="4"/>
      <c r="C394" s="4" t="s">
        <v>701</v>
      </c>
      <c r="D394" s="71" t="s">
        <v>1081</v>
      </c>
      <c r="E394" s="4" t="s">
        <v>1126</v>
      </c>
      <c r="F394" s="17">
        <v>240</v>
      </c>
      <c r="G394" s="148">
        <v>0</v>
      </c>
      <c r="H394" s="17">
        <f t="shared" si="460"/>
        <v>0</v>
      </c>
      <c r="I394" s="17">
        <f t="shared" si="461"/>
        <v>0</v>
      </c>
      <c r="J394" s="17">
        <f t="shared" si="462"/>
        <v>0</v>
      </c>
      <c r="K394" s="17">
        <v>8E-05</v>
      </c>
      <c r="L394" s="17">
        <f t="shared" si="463"/>
        <v>0.019200000000000002</v>
      </c>
      <c r="Y394" s="31">
        <f t="shared" si="464"/>
        <v>0</v>
      </c>
      <c r="AA394" s="31">
        <f t="shared" si="465"/>
        <v>0</v>
      </c>
      <c r="AB394" s="31">
        <f t="shared" si="466"/>
        <v>0</v>
      </c>
      <c r="AC394" s="31">
        <f t="shared" si="467"/>
        <v>0</v>
      </c>
      <c r="AD394" s="31">
        <f t="shared" si="468"/>
        <v>0</v>
      </c>
      <c r="AE394" s="31">
        <f t="shared" si="469"/>
        <v>0</v>
      </c>
      <c r="AF394" s="31">
        <f t="shared" si="470"/>
        <v>0</v>
      </c>
      <c r="AG394" s="31">
        <f t="shared" si="471"/>
        <v>0</v>
      </c>
      <c r="AH394" s="26"/>
      <c r="AI394" s="17">
        <f t="shared" si="472"/>
        <v>0</v>
      </c>
      <c r="AJ394" s="17">
        <f t="shared" si="473"/>
        <v>0</v>
      </c>
      <c r="AK394" s="17">
        <f t="shared" si="474"/>
        <v>0</v>
      </c>
      <c r="AM394" s="31">
        <v>21</v>
      </c>
      <c r="AN394" s="31">
        <f>G394*0.306236080178174</f>
        <v>0</v>
      </c>
      <c r="AO394" s="31">
        <f>G394*(1-0.306236080178174)</f>
        <v>0</v>
      </c>
      <c r="AP394" s="27" t="s">
        <v>8</v>
      </c>
      <c r="AU394" s="31">
        <f t="shared" si="475"/>
        <v>0</v>
      </c>
      <c r="AV394" s="31">
        <f t="shared" si="476"/>
        <v>0</v>
      </c>
      <c r="AW394" s="31">
        <f t="shared" si="477"/>
        <v>0</v>
      </c>
      <c r="AX394" s="32" t="s">
        <v>1197</v>
      </c>
      <c r="AY394" s="32" t="s">
        <v>1214</v>
      </c>
      <c r="AZ394" s="26" t="s">
        <v>1215</v>
      </c>
      <c r="BB394" s="31">
        <f t="shared" si="478"/>
        <v>0</v>
      </c>
      <c r="BC394" s="31">
        <f t="shared" si="479"/>
        <v>0</v>
      </c>
      <c r="BD394" s="31">
        <v>0</v>
      </c>
      <c r="BE394" s="31">
        <f t="shared" si="480"/>
        <v>0.019200000000000002</v>
      </c>
      <c r="BG394" s="17">
        <f t="shared" si="481"/>
        <v>0</v>
      </c>
      <c r="BH394" s="17">
        <f t="shared" si="482"/>
        <v>0</v>
      </c>
      <c r="BI394" s="17">
        <f t="shared" si="483"/>
        <v>0</v>
      </c>
    </row>
    <row r="395" spans="1:61" ht="12.75">
      <c r="A395" s="4" t="s">
        <v>342</v>
      </c>
      <c r="B395" s="4"/>
      <c r="C395" s="4" t="s">
        <v>702</v>
      </c>
      <c r="D395" s="71" t="s">
        <v>1082</v>
      </c>
      <c r="E395" s="4" t="s">
        <v>1123</v>
      </c>
      <c r="F395" s="17">
        <v>685</v>
      </c>
      <c r="G395" s="148">
        <v>0</v>
      </c>
      <c r="H395" s="17">
        <f t="shared" si="460"/>
        <v>0</v>
      </c>
      <c r="I395" s="17">
        <f t="shared" si="461"/>
        <v>0</v>
      </c>
      <c r="J395" s="17">
        <f t="shared" si="462"/>
        <v>0</v>
      </c>
      <c r="K395" s="17">
        <v>0.00012</v>
      </c>
      <c r="L395" s="17">
        <f t="shared" si="463"/>
        <v>0.0822</v>
      </c>
      <c r="Y395" s="31">
        <f t="shared" si="464"/>
        <v>0</v>
      </c>
      <c r="AA395" s="31">
        <f t="shared" si="465"/>
        <v>0</v>
      </c>
      <c r="AB395" s="31">
        <f t="shared" si="466"/>
        <v>0</v>
      </c>
      <c r="AC395" s="31">
        <f t="shared" si="467"/>
        <v>0</v>
      </c>
      <c r="AD395" s="31">
        <f t="shared" si="468"/>
        <v>0</v>
      </c>
      <c r="AE395" s="31">
        <f t="shared" si="469"/>
        <v>0</v>
      </c>
      <c r="AF395" s="31">
        <f t="shared" si="470"/>
        <v>0</v>
      </c>
      <c r="AG395" s="31">
        <f t="shared" si="471"/>
        <v>0</v>
      </c>
      <c r="AH395" s="26"/>
      <c r="AI395" s="17">
        <f t="shared" si="472"/>
        <v>0</v>
      </c>
      <c r="AJ395" s="17">
        <f t="shared" si="473"/>
        <v>0</v>
      </c>
      <c r="AK395" s="17">
        <f t="shared" si="474"/>
        <v>0</v>
      </c>
      <c r="AM395" s="31">
        <v>21</v>
      </c>
      <c r="AN395" s="31">
        <f>G395*0.444444444444444</f>
        <v>0</v>
      </c>
      <c r="AO395" s="31">
        <f>G395*(1-0.444444444444444)</f>
        <v>0</v>
      </c>
      <c r="AP395" s="27" t="s">
        <v>8</v>
      </c>
      <c r="AU395" s="31">
        <f t="shared" si="475"/>
        <v>0</v>
      </c>
      <c r="AV395" s="31">
        <f t="shared" si="476"/>
        <v>0</v>
      </c>
      <c r="AW395" s="31">
        <f t="shared" si="477"/>
        <v>0</v>
      </c>
      <c r="AX395" s="32" t="s">
        <v>1197</v>
      </c>
      <c r="AY395" s="32" t="s">
        <v>1214</v>
      </c>
      <c r="AZ395" s="26" t="s">
        <v>1215</v>
      </c>
      <c r="BB395" s="31">
        <f t="shared" si="478"/>
        <v>0</v>
      </c>
      <c r="BC395" s="31">
        <f t="shared" si="479"/>
        <v>0</v>
      </c>
      <c r="BD395" s="31">
        <v>0</v>
      </c>
      <c r="BE395" s="31">
        <f t="shared" si="480"/>
        <v>0.0822</v>
      </c>
      <c r="BG395" s="17">
        <f t="shared" si="481"/>
        <v>0</v>
      </c>
      <c r="BH395" s="17">
        <f t="shared" si="482"/>
        <v>0</v>
      </c>
      <c r="BI395" s="17">
        <f t="shared" si="483"/>
        <v>0</v>
      </c>
    </row>
    <row r="396" spans="1:61" ht="12.75">
      <c r="A396" s="4" t="s">
        <v>343</v>
      </c>
      <c r="B396" s="4"/>
      <c r="C396" s="4" t="s">
        <v>703</v>
      </c>
      <c r="D396" s="71" t="s">
        <v>1083</v>
      </c>
      <c r="E396" s="4" t="s">
        <v>1123</v>
      </c>
      <c r="F396" s="17">
        <v>450</v>
      </c>
      <c r="G396" s="148">
        <v>0</v>
      </c>
      <c r="H396" s="17">
        <f t="shared" si="460"/>
        <v>0</v>
      </c>
      <c r="I396" s="17">
        <f t="shared" si="461"/>
        <v>0</v>
      </c>
      <c r="J396" s="17">
        <f t="shared" si="462"/>
        <v>0</v>
      </c>
      <c r="K396" s="17">
        <v>0</v>
      </c>
      <c r="L396" s="17">
        <f t="shared" si="463"/>
        <v>0</v>
      </c>
      <c r="Y396" s="31">
        <f t="shared" si="464"/>
        <v>0</v>
      </c>
      <c r="AA396" s="31">
        <f t="shared" si="465"/>
        <v>0</v>
      </c>
      <c r="AB396" s="31">
        <f t="shared" si="466"/>
        <v>0</v>
      </c>
      <c r="AC396" s="31">
        <f t="shared" si="467"/>
        <v>0</v>
      </c>
      <c r="AD396" s="31">
        <f t="shared" si="468"/>
        <v>0</v>
      </c>
      <c r="AE396" s="31">
        <f t="shared" si="469"/>
        <v>0</v>
      </c>
      <c r="AF396" s="31">
        <f t="shared" si="470"/>
        <v>0</v>
      </c>
      <c r="AG396" s="31">
        <f t="shared" si="471"/>
        <v>0</v>
      </c>
      <c r="AH396" s="26"/>
      <c r="AI396" s="17">
        <f t="shared" si="472"/>
        <v>0</v>
      </c>
      <c r="AJ396" s="17">
        <f t="shared" si="473"/>
        <v>0</v>
      </c>
      <c r="AK396" s="17">
        <f t="shared" si="474"/>
        <v>0</v>
      </c>
      <c r="AM396" s="31">
        <v>21</v>
      </c>
      <c r="AN396" s="31">
        <f>G396*0.306122448979592</f>
        <v>0</v>
      </c>
      <c r="AO396" s="31">
        <f>G396*(1-0.306122448979592)</f>
        <v>0</v>
      </c>
      <c r="AP396" s="27" t="s">
        <v>8</v>
      </c>
      <c r="AU396" s="31">
        <f t="shared" si="475"/>
        <v>0</v>
      </c>
      <c r="AV396" s="31">
        <f t="shared" si="476"/>
        <v>0</v>
      </c>
      <c r="AW396" s="31">
        <f t="shared" si="477"/>
        <v>0</v>
      </c>
      <c r="AX396" s="32" t="s">
        <v>1197</v>
      </c>
      <c r="AY396" s="32" t="s">
        <v>1214</v>
      </c>
      <c r="AZ396" s="26" t="s">
        <v>1215</v>
      </c>
      <c r="BB396" s="31">
        <f t="shared" si="478"/>
        <v>0</v>
      </c>
      <c r="BC396" s="31">
        <f t="shared" si="479"/>
        <v>0</v>
      </c>
      <c r="BD396" s="31">
        <v>0</v>
      </c>
      <c r="BE396" s="31">
        <f t="shared" si="480"/>
        <v>0</v>
      </c>
      <c r="BG396" s="17">
        <f t="shared" si="481"/>
        <v>0</v>
      </c>
      <c r="BH396" s="17">
        <f t="shared" si="482"/>
        <v>0</v>
      </c>
      <c r="BI396" s="17">
        <f t="shared" si="483"/>
        <v>0</v>
      </c>
    </row>
    <row r="397" spans="1:61" ht="12.75">
      <c r="A397" s="4" t="s">
        <v>344</v>
      </c>
      <c r="B397" s="4"/>
      <c r="C397" s="4" t="s">
        <v>704</v>
      </c>
      <c r="D397" s="71" t="s">
        <v>1084</v>
      </c>
      <c r="E397" s="4" t="s">
        <v>1123</v>
      </c>
      <c r="F397" s="17">
        <v>110</v>
      </c>
      <c r="G397" s="148">
        <v>0</v>
      </c>
      <c r="H397" s="17">
        <f aca="true" t="shared" si="484" ref="H397:H419">F397*AN397</f>
        <v>0</v>
      </c>
      <c r="I397" s="17">
        <f aca="true" t="shared" si="485" ref="I397:I419">F397*AO397</f>
        <v>0</v>
      </c>
      <c r="J397" s="17">
        <f aca="true" t="shared" si="486" ref="J397:J419">F397*G397</f>
        <v>0</v>
      </c>
      <c r="K397" s="17">
        <v>0.00017</v>
      </c>
      <c r="L397" s="17">
        <f aca="true" t="shared" si="487" ref="L397:L419">F397*K397</f>
        <v>0.0187</v>
      </c>
      <c r="Y397" s="31">
        <f aca="true" t="shared" si="488" ref="Y397:Y419">IF(AP397="5",BI397,0)</f>
        <v>0</v>
      </c>
      <c r="AA397" s="31">
        <f aca="true" t="shared" si="489" ref="AA397:AA419">IF(AP397="1",BG397,0)</f>
        <v>0</v>
      </c>
      <c r="AB397" s="31">
        <f aca="true" t="shared" si="490" ref="AB397:AB419">IF(AP397="1",BH397,0)</f>
        <v>0</v>
      </c>
      <c r="AC397" s="31">
        <f aca="true" t="shared" si="491" ref="AC397:AC419">IF(AP397="7",BG397,0)</f>
        <v>0</v>
      </c>
      <c r="AD397" s="31">
        <f aca="true" t="shared" si="492" ref="AD397:AD419">IF(AP397="7",BH397,0)</f>
        <v>0</v>
      </c>
      <c r="AE397" s="31">
        <f aca="true" t="shared" si="493" ref="AE397:AE419">IF(AP397="2",BG397,0)</f>
        <v>0</v>
      </c>
      <c r="AF397" s="31">
        <f aca="true" t="shared" si="494" ref="AF397:AF419">IF(AP397="2",BH397,0)</f>
        <v>0</v>
      </c>
      <c r="AG397" s="31">
        <f aca="true" t="shared" si="495" ref="AG397:AG419">IF(AP397="0",BI397,0)</f>
        <v>0</v>
      </c>
      <c r="AH397" s="26"/>
      <c r="AI397" s="17">
        <f aca="true" t="shared" si="496" ref="AI397:AI419">IF(AM397=0,J397,0)</f>
        <v>0</v>
      </c>
      <c r="AJ397" s="17">
        <f aca="true" t="shared" si="497" ref="AJ397:AJ419">IF(AM397=15,J397,0)</f>
        <v>0</v>
      </c>
      <c r="AK397" s="17">
        <f aca="true" t="shared" si="498" ref="AK397:AK419">IF(AM397=21,J397,0)</f>
        <v>0</v>
      </c>
      <c r="AM397" s="31">
        <v>21</v>
      </c>
      <c r="AN397" s="31">
        <f>G397*0.363636363636364</f>
        <v>0</v>
      </c>
      <c r="AO397" s="31">
        <f>G397*(1-0.363636363636364)</f>
        <v>0</v>
      </c>
      <c r="AP397" s="27" t="s">
        <v>8</v>
      </c>
      <c r="AU397" s="31">
        <f aca="true" t="shared" si="499" ref="AU397:AU419">AV397+AW397</f>
        <v>0</v>
      </c>
      <c r="AV397" s="31">
        <f aca="true" t="shared" si="500" ref="AV397:AV419">F397*AN397</f>
        <v>0</v>
      </c>
      <c r="AW397" s="31">
        <f aca="true" t="shared" si="501" ref="AW397:AW419">F397*AO397</f>
        <v>0</v>
      </c>
      <c r="AX397" s="32" t="s">
        <v>1197</v>
      </c>
      <c r="AY397" s="32" t="s">
        <v>1214</v>
      </c>
      <c r="AZ397" s="26" t="s">
        <v>1215</v>
      </c>
      <c r="BB397" s="31">
        <f aca="true" t="shared" si="502" ref="BB397:BB419">AV397+AW397</f>
        <v>0</v>
      </c>
      <c r="BC397" s="31">
        <f aca="true" t="shared" si="503" ref="BC397:BC419">G397/(100-BD397)*100</f>
        <v>0</v>
      </c>
      <c r="BD397" s="31">
        <v>0</v>
      </c>
      <c r="BE397" s="31">
        <f aca="true" t="shared" si="504" ref="BE397:BE419">L397</f>
        <v>0.0187</v>
      </c>
      <c r="BG397" s="17">
        <f aca="true" t="shared" si="505" ref="BG397:BG419">F397*AN397</f>
        <v>0</v>
      </c>
      <c r="BH397" s="17">
        <f aca="true" t="shared" si="506" ref="BH397:BH419">F397*AO397</f>
        <v>0</v>
      </c>
      <c r="BI397" s="17">
        <f aca="true" t="shared" si="507" ref="BI397:BI419">F397*G397</f>
        <v>0</v>
      </c>
    </row>
    <row r="398" spans="1:61" ht="12.75">
      <c r="A398" s="4" t="s">
        <v>345</v>
      </c>
      <c r="B398" s="4"/>
      <c r="C398" s="4" t="s">
        <v>705</v>
      </c>
      <c r="D398" s="71" t="s">
        <v>1085</v>
      </c>
      <c r="E398" s="4" t="s">
        <v>1123</v>
      </c>
      <c r="F398" s="17">
        <v>25</v>
      </c>
      <c r="G398" s="148">
        <v>0</v>
      </c>
      <c r="H398" s="17">
        <f t="shared" si="484"/>
        <v>0</v>
      </c>
      <c r="I398" s="17">
        <f t="shared" si="485"/>
        <v>0</v>
      </c>
      <c r="J398" s="17">
        <f t="shared" si="486"/>
        <v>0</v>
      </c>
      <c r="K398" s="17">
        <v>0</v>
      </c>
      <c r="L398" s="17">
        <f t="shared" si="487"/>
        <v>0</v>
      </c>
      <c r="Y398" s="31">
        <f t="shared" si="488"/>
        <v>0</v>
      </c>
      <c r="AA398" s="31">
        <f t="shared" si="489"/>
        <v>0</v>
      </c>
      <c r="AB398" s="31">
        <f t="shared" si="490"/>
        <v>0</v>
      </c>
      <c r="AC398" s="31">
        <f t="shared" si="491"/>
        <v>0</v>
      </c>
      <c r="AD398" s="31">
        <f t="shared" si="492"/>
        <v>0</v>
      </c>
      <c r="AE398" s="31">
        <f t="shared" si="493"/>
        <v>0</v>
      </c>
      <c r="AF398" s="31">
        <f t="shared" si="494"/>
        <v>0</v>
      </c>
      <c r="AG398" s="31">
        <f t="shared" si="495"/>
        <v>0</v>
      </c>
      <c r="AH398" s="26"/>
      <c r="AI398" s="17">
        <f t="shared" si="496"/>
        <v>0</v>
      </c>
      <c r="AJ398" s="17">
        <f t="shared" si="497"/>
        <v>0</v>
      </c>
      <c r="AK398" s="17">
        <f t="shared" si="498"/>
        <v>0</v>
      </c>
      <c r="AM398" s="31">
        <v>21</v>
      </c>
      <c r="AN398" s="31">
        <f>G398*0.474871388998813</f>
        <v>0</v>
      </c>
      <c r="AO398" s="31">
        <f>G398*(1-0.474871388998813)</f>
        <v>0</v>
      </c>
      <c r="AP398" s="27" t="s">
        <v>8</v>
      </c>
      <c r="AU398" s="31">
        <f t="shared" si="499"/>
        <v>0</v>
      </c>
      <c r="AV398" s="31">
        <f t="shared" si="500"/>
        <v>0</v>
      </c>
      <c r="AW398" s="31">
        <f t="shared" si="501"/>
        <v>0</v>
      </c>
      <c r="AX398" s="32" t="s">
        <v>1197</v>
      </c>
      <c r="AY398" s="32" t="s">
        <v>1214</v>
      </c>
      <c r="AZ398" s="26" t="s">
        <v>1215</v>
      </c>
      <c r="BB398" s="31">
        <f t="shared" si="502"/>
        <v>0</v>
      </c>
      <c r="BC398" s="31">
        <f t="shared" si="503"/>
        <v>0</v>
      </c>
      <c r="BD398" s="31">
        <v>0</v>
      </c>
      <c r="BE398" s="31">
        <f t="shared" si="504"/>
        <v>0</v>
      </c>
      <c r="BG398" s="17">
        <f t="shared" si="505"/>
        <v>0</v>
      </c>
      <c r="BH398" s="17">
        <f t="shared" si="506"/>
        <v>0</v>
      </c>
      <c r="BI398" s="17">
        <f t="shared" si="507"/>
        <v>0</v>
      </c>
    </row>
    <row r="399" spans="1:61" ht="12.75">
      <c r="A399" s="4" t="s">
        <v>346</v>
      </c>
      <c r="B399" s="4"/>
      <c r="C399" s="4" t="s">
        <v>706</v>
      </c>
      <c r="D399" s="71" t="s">
        <v>1086</v>
      </c>
      <c r="E399" s="4" t="s">
        <v>1123</v>
      </c>
      <c r="F399" s="17">
        <v>400</v>
      </c>
      <c r="G399" s="148">
        <v>0</v>
      </c>
      <c r="H399" s="17">
        <f t="shared" si="484"/>
        <v>0</v>
      </c>
      <c r="I399" s="17">
        <f t="shared" si="485"/>
        <v>0</v>
      </c>
      <c r="J399" s="17">
        <f t="shared" si="486"/>
        <v>0</v>
      </c>
      <c r="K399" s="17">
        <v>0</v>
      </c>
      <c r="L399" s="17">
        <f t="shared" si="487"/>
        <v>0</v>
      </c>
      <c r="Y399" s="31">
        <f t="shared" si="488"/>
        <v>0</v>
      </c>
      <c r="AA399" s="31">
        <f t="shared" si="489"/>
        <v>0</v>
      </c>
      <c r="AB399" s="31">
        <f t="shared" si="490"/>
        <v>0</v>
      </c>
      <c r="AC399" s="31">
        <f t="shared" si="491"/>
        <v>0</v>
      </c>
      <c r="AD399" s="31">
        <f t="shared" si="492"/>
        <v>0</v>
      </c>
      <c r="AE399" s="31">
        <f t="shared" si="493"/>
        <v>0</v>
      </c>
      <c r="AF399" s="31">
        <f t="shared" si="494"/>
        <v>0</v>
      </c>
      <c r="AG399" s="31">
        <f t="shared" si="495"/>
        <v>0</v>
      </c>
      <c r="AH399" s="26"/>
      <c r="AI399" s="17">
        <f t="shared" si="496"/>
        <v>0</v>
      </c>
      <c r="AJ399" s="17">
        <f t="shared" si="497"/>
        <v>0</v>
      </c>
      <c r="AK399" s="17">
        <f t="shared" si="498"/>
        <v>0</v>
      </c>
      <c r="AM399" s="31">
        <v>21</v>
      </c>
      <c r="AN399" s="31">
        <f>G399*0.428571428571429</f>
        <v>0</v>
      </c>
      <c r="AO399" s="31">
        <f>G399*(1-0.428571428571429)</f>
        <v>0</v>
      </c>
      <c r="AP399" s="27" t="s">
        <v>8</v>
      </c>
      <c r="AU399" s="31">
        <f t="shared" si="499"/>
        <v>0</v>
      </c>
      <c r="AV399" s="31">
        <f t="shared" si="500"/>
        <v>0</v>
      </c>
      <c r="AW399" s="31">
        <f t="shared" si="501"/>
        <v>0</v>
      </c>
      <c r="AX399" s="32" t="s">
        <v>1197</v>
      </c>
      <c r="AY399" s="32" t="s">
        <v>1214</v>
      </c>
      <c r="AZ399" s="26" t="s">
        <v>1215</v>
      </c>
      <c r="BB399" s="31">
        <f t="shared" si="502"/>
        <v>0</v>
      </c>
      <c r="BC399" s="31">
        <f t="shared" si="503"/>
        <v>0</v>
      </c>
      <c r="BD399" s="31">
        <v>0</v>
      </c>
      <c r="BE399" s="31">
        <f t="shared" si="504"/>
        <v>0</v>
      </c>
      <c r="BG399" s="17">
        <f t="shared" si="505"/>
        <v>0</v>
      </c>
      <c r="BH399" s="17">
        <f t="shared" si="506"/>
        <v>0</v>
      </c>
      <c r="BI399" s="17">
        <f t="shared" si="507"/>
        <v>0</v>
      </c>
    </row>
    <row r="400" spans="1:61" ht="12.75">
      <c r="A400" s="4" t="s">
        <v>347</v>
      </c>
      <c r="B400" s="4"/>
      <c r="C400" s="4" t="s">
        <v>707</v>
      </c>
      <c r="D400" s="71" t="s">
        <v>1087</v>
      </c>
      <c r="E400" s="4" t="s">
        <v>1126</v>
      </c>
      <c r="F400" s="17">
        <v>46</v>
      </c>
      <c r="G400" s="148">
        <v>0</v>
      </c>
      <c r="H400" s="17">
        <f t="shared" si="484"/>
        <v>0</v>
      </c>
      <c r="I400" s="17">
        <f t="shared" si="485"/>
        <v>0</v>
      </c>
      <c r="J400" s="17">
        <f t="shared" si="486"/>
        <v>0</v>
      </c>
      <c r="K400" s="17">
        <v>0</v>
      </c>
      <c r="L400" s="17">
        <f t="shared" si="487"/>
        <v>0</v>
      </c>
      <c r="Y400" s="31">
        <f t="shared" si="488"/>
        <v>0</v>
      </c>
      <c r="AA400" s="31">
        <f t="shared" si="489"/>
        <v>0</v>
      </c>
      <c r="AB400" s="31">
        <f t="shared" si="490"/>
        <v>0</v>
      </c>
      <c r="AC400" s="31">
        <f t="shared" si="491"/>
        <v>0</v>
      </c>
      <c r="AD400" s="31">
        <f t="shared" si="492"/>
        <v>0</v>
      </c>
      <c r="AE400" s="31">
        <f t="shared" si="493"/>
        <v>0</v>
      </c>
      <c r="AF400" s="31">
        <f t="shared" si="494"/>
        <v>0</v>
      </c>
      <c r="AG400" s="31">
        <f t="shared" si="495"/>
        <v>0</v>
      </c>
      <c r="AH400" s="26"/>
      <c r="AI400" s="17">
        <f t="shared" si="496"/>
        <v>0</v>
      </c>
      <c r="AJ400" s="17">
        <f t="shared" si="497"/>
        <v>0</v>
      </c>
      <c r="AK400" s="17">
        <f t="shared" si="498"/>
        <v>0</v>
      </c>
      <c r="AM400" s="31">
        <v>21</v>
      </c>
      <c r="AN400" s="31">
        <f>G400*0</f>
        <v>0</v>
      </c>
      <c r="AO400" s="31">
        <f>G400*(1-0)</f>
        <v>0</v>
      </c>
      <c r="AP400" s="27" t="s">
        <v>8</v>
      </c>
      <c r="AU400" s="31">
        <f t="shared" si="499"/>
        <v>0</v>
      </c>
      <c r="AV400" s="31">
        <f t="shared" si="500"/>
        <v>0</v>
      </c>
      <c r="AW400" s="31">
        <f t="shared" si="501"/>
        <v>0</v>
      </c>
      <c r="AX400" s="32" t="s">
        <v>1197</v>
      </c>
      <c r="AY400" s="32" t="s">
        <v>1214</v>
      </c>
      <c r="AZ400" s="26" t="s">
        <v>1215</v>
      </c>
      <c r="BB400" s="31">
        <f t="shared" si="502"/>
        <v>0</v>
      </c>
      <c r="BC400" s="31">
        <f t="shared" si="503"/>
        <v>0</v>
      </c>
      <c r="BD400" s="31">
        <v>0</v>
      </c>
      <c r="BE400" s="31">
        <f t="shared" si="504"/>
        <v>0</v>
      </c>
      <c r="BG400" s="17">
        <f t="shared" si="505"/>
        <v>0</v>
      </c>
      <c r="BH400" s="17">
        <f t="shared" si="506"/>
        <v>0</v>
      </c>
      <c r="BI400" s="17">
        <f t="shared" si="507"/>
        <v>0</v>
      </c>
    </row>
    <row r="401" spans="1:61" ht="12.75">
      <c r="A401" s="4" t="s">
        <v>348</v>
      </c>
      <c r="B401" s="4"/>
      <c r="C401" s="4" t="s">
        <v>701</v>
      </c>
      <c r="D401" s="71" t="s">
        <v>1088</v>
      </c>
      <c r="E401" s="4" t="s">
        <v>1126</v>
      </c>
      <c r="F401" s="17">
        <v>350</v>
      </c>
      <c r="G401" s="148">
        <v>0</v>
      </c>
      <c r="H401" s="17">
        <f t="shared" si="484"/>
        <v>0</v>
      </c>
      <c r="I401" s="17">
        <f t="shared" si="485"/>
        <v>0</v>
      </c>
      <c r="J401" s="17">
        <f t="shared" si="486"/>
        <v>0</v>
      </c>
      <c r="K401" s="17">
        <v>8E-05</v>
      </c>
      <c r="L401" s="17">
        <f t="shared" si="487"/>
        <v>0.028</v>
      </c>
      <c r="Y401" s="31">
        <f t="shared" si="488"/>
        <v>0</v>
      </c>
      <c r="AA401" s="31">
        <f t="shared" si="489"/>
        <v>0</v>
      </c>
      <c r="AB401" s="31">
        <f t="shared" si="490"/>
        <v>0</v>
      </c>
      <c r="AC401" s="31">
        <f t="shared" si="491"/>
        <v>0</v>
      </c>
      <c r="AD401" s="31">
        <f t="shared" si="492"/>
        <v>0</v>
      </c>
      <c r="AE401" s="31">
        <f t="shared" si="493"/>
        <v>0</v>
      </c>
      <c r="AF401" s="31">
        <f t="shared" si="494"/>
        <v>0</v>
      </c>
      <c r="AG401" s="31">
        <f t="shared" si="495"/>
        <v>0</v>
      </c>
      <c r="AH401" s="26"/>
      <c r="AI401" s="17">
        <f t="shared" si="496"/>
        <v>0</v>
      </c>
      <c r="AJ401" s="17">
        <f t="shared" si="497"/>
        <v>0</v>
      </c>
      <c r="AK401" s="17">
        <f t="shared" si="498"/>
        <v>0</v>
      </c>
      <c r="AM401" s="31">
        <v>21</v>
      </c>
      <c r="AN401" s="31">
        <f>G401*0</f>
        <v>0</v>
      </c>
      <c r="AO401" s="31">
        <f>G401*(1-0)</f>
        <v>0</v>
      </c>
      <c r="AP401" s="27" t="s">
        <v>8</v>
      </c>
      <c r="AU401" s="31">
        <f t="shared" si="499"/>
        <v>0</v>
      </c>
      <c r="AV401" s="31">
        <f t="shared" si="500"/>
        <v>0</v>
      </c>
      <c r="AW401" s="31">
        <f t="shared" si="501"/>
        <v>0</v>
      </c>
      <c r="AX401" s="32" t="s">
        <v>1197</v>
      </c>
      <c r="AY401" s="32" t="s">
        <v>1214</v>
      </c>
      <c r="AZ401" s="26" t="s">
        <v>1215</v>
      </c>
      <c r="BB401" s="31">
        <f t="shared" si="502"/>
        <v>0</v>
      </c>
      <c r="BC401" s="31">
        <f t="shared" si="503"/>
        <v>0</v>
      </c>
      <c r="BD401" s="31">
        <v>0</v>
      </c>
      <c r="BE401" s="31">
        <f t="shared" si="504"/>
        <v>0.028</v>
      </c>
      <c r="BG401" s="17">
        <f t="shared" si="505"/>
        <v>0</v>
      </c>
      <c r="BH401" s="17">
        <f t="shared" si="506"/>
        <v>0</v>
      </c>
      <c r="BI401" s="17">
        <f t="shared" si="507"/>
        <v>0</v>
      </c>
    </row>
    <row r="402" spans="1:61" ht="12.75">
      <c r="A402" s="4" t="s">
        <v>349</v>
      </c>
      <c r="B402" s="4"/>
      <c r="C402" s="4" t="s">
        <v>701</v>
      </c>
      <c r="D402" s="71" t="s">
        <v>1089</v>
      </c>
      <c r="E402" s="4" t="s">
        <v>1126</v>
      </c>
      <c r="F402" s="17">
        <v>16</v>
      </c>
      <c r="G402" s="148">
        <v>0</v>
      </c>
      <c r="H402" s="17">
        <f t="shared" si="484"/>
        <v>0</v>
      </c>
      <c r="I402" s="17">
        <f t="shared" si="485"/>
        <v>0</v>
      </c>
      <c r="J402" s="17">
        <f t="shared" si="486"/>
        <v>0</v>
      </c>
      <c r="K402" s="17">
        <v>8E-05</v>
      </c>
      <c r="L402" s="17">
        <f t="shared" si="487"/>
        <v>0.00128</v>
      </c>
      <c r="Y402" s="31">
        <f t="shared" si="488"/>
        <v>0</v>
      </c>
      <c r="AA402" s="31">
        <f t="shared" si="489"/>
        <v>0</v>
      </c>
      <c r="AB402" s="31">
        <f t="shared" si="490"/>
        <v>0</v>
      </c>
      <c r="AC402" s="31">
        <f t="shared" si="491"/>
        <v>0</v>
      </c>
      <c r="AD402" s="31">
        <f t="shared" si="492"/>
        <v>0</v>
      </c>
      <c r="AE402" s="31">
        <f t="shared" si="493"/>
        <v>0</v>
      </c>
      <c r="AF402" s="31">
        <f t="shared" si="494"/>
        <v>0</v>
      </c>
      <c r="AG402" s="31">
        <f t="shared" si="495"/>
        <v>0</v>
      </c>
      <c r="AH402" s="26"/>
      <c r="AI402" s="17">
        <f t="shared" si="496"/>
        <v>0</v>
      </c>
      <c r="AJ402" s="17">
        <f t="shared" si="497"/>
        <v>0</v>
      </c>
      <c r="AK402" s="17">
        <f t="shared" si="498"/>
        <v>0</v>
      </c>
      <c r="AM402" s="31">
        <v>21</v>
      </c>
      <c r="AN402" s="31">
        <f>G402*0</f>
        <v>0</v>
      </c>
      <c r="AO402" s="31">
        <f>G402*(1-0)</f>
        <v>0</v>
      </c>
      <c r="AP402" s="27" t="s">
        <v>8</v>
      </c>
      <c r="AU402" s="31">
        <f t="shared" si="499"/>
        <v>0</v>
      </c>
      <c r="AV402" s="31">
        <f t="shared" si="500"/>
        <v>0</v>
      </c>
      <c r="AW402" s="31">
        <f t="shared" si="501"/>
        <v>0</v>
      </c>
      <c r="AX402" s="32" t="s">
        <v>1197</v>
      </c>
      <c r="AY402" s="32" t="s">
        <v>1214</v>
      </c>
      <c r="AZ402" s="26" t="s">
        <v>1215</v>
      </c>
      <c r="BB402" s="31">
        <f t="shared" si="502"/>
        <v>0</v>
      </c>
      <c r="BC402" s="31">
        <f t="shared" si="503"/>
        <v>0</v>
      </c>
      <c r="BD402" s="31">
        <v>0</v>
      </c>
      <c r="BE402" s="31">
        <f t="shared" si="504"/>
        <v>0.00128</v>
      </c>
      <c r="BG402" s="17">
        <f t="shared" si="505"/>
        <v>0</v>
      </c>
      <c r="BH402" s="17">
        <f t="shared" si="506"/>
        <v>0</v>
      </c>
      <c r="BI402" s="17">
        <f t="shared" si="507"/>
        <v>0</v>
      </c>
    </row>
    <row r="403" spans="1:61" ht="12.75">
      <c r="A403" s="4" t="s">
        <v>350</v>
      </c>
      <c r="B403" s="4"/>
      <c r="C403" s="4" t="s">
        <v>708</v>
      </c>
      <c r="D403" s="71" t="s">
        <v>1090</v>
      </c>
      <c r="E403" s="4" t="s">
        <v>1123</v>
      </c>
      <c r="F403" s="17">
        <v>220</v>
      </c>
      <c r="G403" s="148">
        <v>0</v>
      </c>
      <c r="H403" s="17">
        <f t="shared" si="484"/>
        <v>0</v>
      </c>
      <c r="I403" s="17">
        <f t="shared" si="485"/>
        <v>0</v>
      </c>
      <c r="J403" s="17">
        <f t="shared" si="486"/>
        <v>0</v>
      </c>
      <c r="K403" s="17">
        <v>0.00042</v>
      </c>
      <c r="L403" s="17">
        <f t="shared" si="487"/>
        <v>0.09240000000000001</v>
      </c>
      <c r="Y403" s="31">
        <f t="shared" si="488"/>
        <v>0</v>
      </c>
      <c r="AA403" s="31">
        <f t="shared" si="489"/>
        <v>0</v>
      </c>
      <c r="AB403" s="31">
        <f t="shared" si="490"/>
        <v>0</v>
      </c>
      <c r="AC403" s="31">
        <f t="shared" si="491"/>
        <v>0</v>
      </c>
      <c r="AD403" s="31">
        <f t="shared" si="492"/>
        <v>0</v>
      </c>
      <c r="AE403" s="31">
        <f t="shared" si="493"/>
        <v>0</v>
      </c>
      <c r="AF403" s="31">
        <f t="shared" si="494"/>
        <v>0</v>
      </c>
      <c r="AG403" s="31">
        <f t="shared" si="495"/>
        <v>0</v>
      </c>
      <c r="AH403" s="26"/>
      <c r="AI403" s="17">
        <f t="shared" si="496"/>
        <v>0</v>
      </c>
      <c r="AJ403" s="17">
        <f t="shared" si="497"/>
        <v>0</v>
      </c>
      <c r="AK403" s="17">
        <f t="shared" si="498"/>
        <v>0</v>
      </c>
      <c r="AM403" s="31">
        <v>21</v>
      </c>
      <c r="AN403" s="31">
        <f>G403*0.06312625250501</f>
        <v>0</v>
      </c>
      <c r="AO403" s="31">
        <f>G403*(1-0.06312625250501)</f>
        <v>0</v>
      </c>
      <c r="AP403" s="27" t="s">
        <v>8</v>
      </c>
      <c r="AU403" s="31">
        <f t="shared" si="499"/>
        <v>0</v>
      </c>
      <c r="AV403" s="31">
        <f t="shared" si="500"/>
        <v>0</v>
      </c>
      <c r="AW403" s="31">
        <f t="shared" si="501"/>
        <v>0</v>
      </c>
      <c r="AX403" s="32" t="s">
        <v>1197</v>
      </c>
      <c r="AY403" s="32" t="s">
        <v>1214</v>
      </c>
      <c r="AZ403" s="26" t="s">
        <v>1215</v>
      </c>
      <c r="BB403" s="31">
        <f t="shared" si="502"/>
        <v>0</v>
      </c>
      <c r="BC403" s="31">
        <f t="shared" si="503"/>
        <v>0</v>
      </c>
      <c r="BD403" s="31">
        <v>0</v>
      </c>
      <c r="BE403" s="31">
        <f t="shared" si="504"/>
        <v>0.09240000000000001</v>
      </c>
      <c r="BG403" s="17">
        <f t="shared" si="505"/>
        <v>0</v>
      </c>
      <c r="BH403" s="17">
        <f t="shared" si="506"/>
        <v>0</v>
      </c>
      <c r="BI403" s="17">
        <f t="shared" si="507"/>
        <v>0</v>
      </c>
    </row>
    <row r="404" spans="1:61" ht="12.75">
      <c r="A404" s="4" t="s">
        <v>351</v>
      </c>
      <c r="B404" s="4"/>
      <c r="C404" s="4" t="s">
        <v>709</v>
      </c>
      <c r="D404" s="71" t="s">
        <v>1091</v>
      </c>
      <c r="E404" s="4" t="s">
        <v>1123</v>
      </c>
      <c r="F404" s="17">
        <v>105</v>
      </c>
      <c r="G404" s="148">
        <v>0</v>
      </c>
      <c r="H404" s="17">
        <f t="shared" si="484"/>
        <v>0</v>
      </c>
      <c r="I404" s="17">
        <f t="shared" si="485"/>
        <v>0</v>
      </c>
      <c r="J404" s="17">
        <f t="shared" si="486"/>
        <v>0</v>
      </c>
      <c r="K404" s="17">
        <v>0.00099</v>
      </c>
      <c r="L404" s="17">
        <f t="shared" si="487"/>
        <v>0.10395</v>
      </c>
      <c r="Y404" s="31">
        <f t="shared" si="488"/>
        <v>0</v>
      </c>
      <c r="AA404" s="31">
        <f t="shared" si="489"/>
        <v>0</v>
      </c>
      <c r="AB404" s="31">
        <f t="shared" si="490"/>
        <v>0</v>
      </c>
      <c r="AC404" s="31">
        <f t="shared" si="491"/>
        <v>0</v>
      </c>
      <c r="AD404" s="31">
        <f t="shared" si="492"/>
        <v>0</v>
      </c>
      <c r="AE404" s="31">
        <f t="shared" si="493"/>
        <v>0</v>
      </c>
      <c r="AF404" s="31">
        <f t="shared" si="494"/>
        <v>0</v>
      </c>
      <c r="AG404" s="31">
        <f t="shared" si="495"/>
        <v>0</v>
      </c>
      <c r="AH404" s="26"/>
      <c r="AI404" s="17">
        <f t="shared" si="496"/>
        <v>0</v>
      </c>
      <c r="AJ404" s="17">
        <f t="shared" si="497"/>
        <v>0</v>
      </c>
      <c r="AK404" s="17">
        <f t="shared" si="498"/>
        <v>0</v>
      </c>
      <c r="AM404" s="31">
        <v>21</v>
      </c>
      <c r="AN404" s="31">
        <f>G404*0.37086638508293</f>
        <v>0</v>
      </c>
      <c r="AO404" s="31">
        <f>G404*(1-0.37086638508293)</f>
        <v>0</v>
      </c>
      <c r="AP404" s="27" t="s">
        <v>8</v>
      </c>
      <c r="AU404" s="31">
        <f t="shared" si="499"/>
        <v>0</v>
      </c>
      <c r="AV404" s="31">
        <f t="shared" si="500"/>
        <v>0</v>
      </c>
      <c r="AW404" s="31">
        <f t="shared" si="501"/>
        <v>0</v>
      </c>
      <c r="AX404" s="32" t="s">
        <v>1197</v>
      </c>
      <c r="AY404" s="32" t="s">
        <v>1214</v>
      </c>
      <c r="AZ404" s="26" t="s">
        <v>1215</v>
      </c>
      <c r="BB404" s="31">
        <f t="shared" si="502"/>
        <v>0</v>
      </c>
      <c r="BC404" s="31">
        <f t="shared" si="503"/>
        <v>0</v>
      </c>
      <c r="BD404" s="31">
        <v>0</v>
      </c>
      <c r="BE404" s="31">
        <f t="shared" si="504"/>
        <v>0.10395</v>
      </c>
      <c r="BG404" s="17">
        <f t="shared" si="505"/>
        <v>0</v>
      </c>
      <c r="BH404" s="17">
        <f t="shared" si="506"/>
        <v>0</v>
      </c>
      <c r="BI404" s="17">
        <f t="shared" si="507"/>
        <v>0</v>
      </c>
    </row>
    <row r="405" spans="1:61" ht="12.75">
      <c r="A405" s="4" t="s">
        <v>352</v>
      </c>
      <c r="B405" s="4"/>
      <c r="C405" s="4" t="s">
        <v>710</v>
      </c>
      <c r="D405" s="71" t="s">
        <v>1092</v>
      </c>
      <c r="E405" s="4" t="s">
        <v>1120</v>
      </c>
      <c r="F405" s="17">
        <v>8</v>
      </c>
      <c r="G405" s="148">
        <v>0</v>
      </c>
      <c r="H405" s="17">
        <f t="shared" si="484"/>
        <v>0</v>
      </c>
      <c r="I405" s="17">
        <f t="shared" si="485"/>
        <v>0</v>
      </c>
      <c r="J405" s="17">
        <f t="shared" si="486"/>
        <v>0</v>
      </c>
      <c r="K405" s="17">
        <v>0.0003</v>
      </c>
      <c r="L405" s="17">
        <f t="shared" si="487"/>
        <v>0.0024</v>
      </c>
      <c r="Y405" s="31">
        <f t="shared" si="488"/>
        <v>0</v>
      </c>
      <c r="AA405" s="31">
        <f t="shared" si="489"/>
        <v>0</v>
      </c>
      <c r="AB405" s="31">
        <f t="shared" si="490"/>
        <v>0</v>
      </c>
      <c r="AC405" s="31">
        <f t="shared" si="491"/>
        <v>0</v>
      </c>
      <c r="AD405" s="31">
        <f t="shared" si="492"/>
        <v>0</v>
      </c>
      <c r="AE405" s="31">
        <f t="shared" si="493"/>
        <v>0</v>
      </c>
      <c r="AF405" s="31">
        <f t="shared" si="494"/>
        <v>0</v>
      </c>
      <c r="AG405" s="31">
        <f t="shared" si="495"/>
        <v>0</v>
      </c>
      <c r="AH405" s="26"/>
      <c r="AI405" s="17">
        <f t="shared" si="496"/>
        <v>0</v>
      </c>
      <c r="AJ405" s="17">
        <f t="shared" si="497"/>
        <v>0</v>
      </c>
      <c r="AK405" s="17">
        <f t="shared" si="498"/>
        <v>0</v>
      </c>
      <c r="AM405" s="31">
        <v>21</v>
      </c>
      <c r="AN405" s="31">
        <f>G405*0.174711725652673</f>
        <v>0</v>
      </c>
      <c r="AO405" s="31">
        <f>G405*(1-0.174711725652673)</f>
        <v>0</v>
      </c>
      <c r="AP405" s="27" t="s">
        <v>8</v>
      </c>
      <c r="AU405" s="31">
        <f t="shared" si="499"/>
        <v>0</v>
      </c>
      <c r="AV405" s="31">
        <f t="shared" si="500"/>
        <v>0</v>
      </c>
      <c r="AW405" s="31">
        <f t="shared" si="501"/>
        <v>0</v>
      </c>
      <c r="AX405" s="32" t="s">
        <v>1197</v>
      </c>
      <c r="AY405" s="32" t="s">
        <v>1214</v>
      </c>
      <c r="AZ405" s="26" t="s">
        <v>1215</v>
      </c>
      <c r="BB405" s="31">
        <f t="shared" si="502"/>
        <v>0</v>
      </c>
      <c r="BC405" s="31">
        <f t="shared" si="503"/>
        <v>0</v>
      </c>
      <c r="BD405" s="31">
        <v>0</v>
      </c>
      <c r="BE405" s="31">
        <f t="shared" si="504"/>
        <v>0.0024</v>
      </c>
      <c r="BG405" s="17">
        <f t="shared" si="505"/>
        <v>0</v>
      </c>
      <c r="BH405" s="17">
        <f t="shared" si="506"/>
        <v>0</v>
      </c>
      <c r="BI405" s="17">
        <f t="shared" si="507"/>
        <v>0</v>
      </c>
    </row>
    <row r="406" spans="1:61" ht="12.75">
      <c r="A406" s="4" t="s">
        <v>353</v>
      </c>
      <c r="B406" s="4"/>
      <c r="C406" s="4" t="s">
        <v>711</v>
      </c>
      <c r="D406" s="71" t="s">
        <v>1093</v>
      </c>
      <c r="E406" s="4" t="s">
        <v>1120</v>
      </c>
      <c r="F406" s="17">
        <v>8</v>
      </c>
      <c r="G406" s="148">
        <v>0</v>
      </c>
      <c r="H406" s="17">
        <f t="shared" si="484"/>
        <v>0</v>
      </c>
      <c r="I406" s="17">
        <f t="shared" si="485"/>
        <v>0</v>
      </c>
      <c r="J406" s="17">
        <f t="shared" si="486"/>
        <v>0</v>
      </c>
      <c r="K406" s="17">
        <v>0</v>
      </c>
      <c r="L406" s="17">
        <f t="shared" si="487"/>
        <v>0</v>
      </c>
      <c r="Y406" s="31">
        <f t="shared" si="488"/>
        <v>0</v>
      </c>
      <c r="AA406" s="31">
        <f t="shared" si="489"/>
        <v>0</v>
      </c>
      <c r="AB406" s="31">
        <f t="shared" si="490"/>
        <v>0</v>
      </c>
      <c r="AC406" s="31">
        <f t="shared" si="491"/>
        <v>0</v>
      </c>
      <c r="AD406" s="31">
        <f t="shared" si="492"/>
        <v>0</v>
      </c>
      <c r="AE406" s="31">
        <f t="shared" si="493"/>
        <v>0</v>
      </c>
      <c r="AF406" s="31">
        <f t="shared" si="494"/>
        <v>0</v>
      </c>
      <c r="AG406" s="31">
        <f t="shared" si="495"/>
        <v>0</v>
      </c>
      <c r="AH406" s="26"/>
      <c r="AI406" s="17">
        <f t="shared" si="496"/>
        <v>0</v>
      </c>
      <c r="AJ406" s="17">
        <f t="shared" si="497"/>
        <v>0</v>
      </c>
      <c r="AK406" s="17">
        <f t="shared" si="498"/>
        <v>0</v>
      </c>
      <c r="AM406" s="31">
        <v>21</v>
      </c>
      <c r="AN406" s="31">
        <f>G406*0.762510620683645</f>
        <v>0</v>
      </c>
      <c r="AO406" s="31">
        <f>G406*(1-0.762510620683645)</f>
        <v>0</v>
      </c>
      <c r="AP406" s="27" t="s">
        <v>8</v>
      </c>
      <c r="AU406" s="31">
        <f t="shared" si="499"/>
        <v>0</v>
      </c>
      <c r="AV406" s="31">
        <f t="shared" si="500"/>
        <v>0</v>
      </c>
      <c r="AW406" s="31">
        <f t="shared" si="501"/>
        <v>0</v>
      </c>
      <c r="AX406" s="32" t="s">
        <v>1197</v>
      </c>
      <c r="AY406" s="32" t="s">
        <v>1214</v>
      </c>
      <c r="AZ406" s="26" t="s">
        <v>1215</v>
      </c>
      <c r="BB406" s="31">
        <f t="shared" si="502"/>
        <v>0</v>
      </c>
      <c r="BC406" s="31">
        <f t="shared" si="503"/>
        <v>0</v>
      </c>
      <c r="BD406" s="31">
        <v>0</v>
      </c>
      <c r="BE406" s="31">
        <f t="shared" si="504"/>
        <v>0</v>
      </c>
      <c r="BG406" s="17">
        <f t="shared" si="505"/>
        <v>0</v>
      </c>
      <c r="BH406" s="17">
        <f t="shared" si="506"/>
        <v>0</v>
      </c>
      <c r="BI406" s="17">
        <f t="shared" si="507"/>
        <v>0</v>
      </c>
    </row>
    <row r="407" spans="1:61" ht="12.75">
      <c r="A407" s="4" t="s">
        <v>354</v>
      </c>
      <c r="B407" s="4"/>
      <c r="C407" s="4" t="s">
        <v>712</v>
      </c>
      <c r="D407" s="71" t="s">
        <v>1094</v>
      </c>
      <c r="E407" s="4" t="s">
        <v>1120</v>
      </c>
      <c r="F407" s="17">
        <v>50</v>
      </c>
      <c r="G407" s="148">
        <v>0</v>
      </c>
      <c r="H407" s="17">
        <f t="shared" si="484"/>
        <v>0</v>
      </c>
      <c r="I407" s="17">
        <f t="shared" si="485"/>
        <v>0</v>
      </c>
      <c r="J407" s="17">
        <f t="shared" si="486"/>
        <v>0</v>
      </c>
      <c r="K407" s="17">
        <v>0.00042</v>
      </c>
      <c r="L407" s="17">
        <f t="shared" si="487"/>
        <v>0.021</v>
      </c>
      <c r="Y407" s="31">
        <f t="shared" si="488"/>
        <v>0</v>
      </c>
      <c r="AA407" s="31">
        <f t="shared" si="489"/>
        <v>0</v>
      </c>
      <c r="AB407" s="31">
        <f t="shared" si="490"/>
        <v>0</v>
      </c>
      <c r="AC407" s="31">
        <f t="shared" si="491"/>
        <v>0</v>
      </c>
      <c r="AD407" s="31">
        <f t="shared" si="492"/>
        <v>0</v>
      </c>
      <c r="AE407" s="31">
        <f t="shared" si="493"/>
        <v>0</v>
      </c>
      <c r="AF407" s="31">
        <f t="shared" si="494"/>
        <v>0</v>
      </c>
      <c r="AG407" s="31">
        <f t="shared" si="495"/>
        <v>0</v>
      </c>
      <c r="AH407" s="26"/>
      <c r="AI407" s="17">
        <f t="shared" si="496"/>
        <v>0</v>
      </c>
      <c r="AJ407" s="17">
        <f t="shared" si="497"/>
        <v>0</v>
      </c>
      <c r="AK407" s="17">
        <f t="shared" si="498"/>
        <v>0</v>
      </c>
      <c r="AM407" s="31">
        <v>21</v>
      </c>
      <c r="AN407" s="31">
        <f>G407*0.197127071823204</f>
        <v>0</v>
      </c>
      <c r="AO407" s="31">
        <f>G407*(1-0.197127071823204)</f>
        <v>0</v>
      </c>
      <c r="AP407" s="27" t="s">
        <v>8</v>
      </c>
      <c r="AU407" s="31">
        <f t="shared" si="499"/>
        <v>0</v>
      </c>
      <c r="AV407" s="31">
        <f t="shared" si="500"/>
        <v>0</v>
      </c>
      <c r="AW407" s="31">
        <f t="shared" si="501"/>
        <v>0</v>
      </c>
      <c r="AX407" s="32" t="s">
        <v>1197</v>
      </c>
      <c r="AY407" s="32" t="s">
        <v>1214</v>
      </c>
      <c r="AZ407" s="26" t="s">
        <v>1215</v>
      </c>
      <c r="BB407" s="31">
        <f t="shared" si="502"/>
        <v>0</v>
      </c>
      <c r="BC407" s="31">
        <f t="shared" si="503"/>
        <v>0</v>
      </c>
      <c r="BD407" s="31">
        <v>0</v>
      </c>
      <c r="BE407" s="31">
        <f t="shared" si="504"/>
        <v>0.021</v>
      </c>
      <c r="BG407" s="17">
        <f t="shared" si="505"/>
        <v>0</v>
      </c>
      <c r="BH407" s="17">
        <f t="shared" si="506"/>
        <v>0</v>
      </c>
      <c r="BI407" s="17">
        <f t="shared" si="507"/>
        <v>0</v>
      </c>
    </row>
    <row r="408" spans="1:61" ht="12.75">
      <c r="A408" s="4" t="s">
        <v>355</v>
      </c>
      <c r="B408" s="4"/>
      <c r="C408" s="4" t="s">
        <v>713</v>
      </c>
      <c r="D408" s="71" t="s">
        <v>1095</v>
      </c>
      <c r="E408" s="4" t="s">
        <v>1126</v>
      </c>
      <c r="F408" s="17">
        <v>8</v>
      </c>
      <c r="G408" s="148">
        <v>0</v>
      </c>
      <c r="H408" s="17">
        <f t="shared" si="484"/>
        <v>0</v>
      </c>
      <c r="I408" s="17">
        <f t="shared" si="485"/>
        <v>0</v>
      </c>
      <c r="J408" s="17">
        <f t="shared" si="486"/>
        <v>0</v>
      </c>
      <c r="K408" s="17">
        <v>0.00364</v>
      </c>
      <c r="L408" s="17">
        <f t="shared" si="487"/>
        <v>0.02912</v>
      </c>
      <c r="Y408" s="31">
        <f t="shared" si="488"/>
        <v>0</v>
      </c>
      <c r="AA408" s="31">
        <f t="shared" si="489"/>
        <v>0</v>
      </c>
      <c r="AB408" s="31">
        <f t="shared" si="490"/>
        <v>0</v>
      </c>
      <c r="AC408" s="31">
        <f t="shared" si="491"/>
        <v>0</v>
      </c>
      <c r="AD408" s="31">
        <f t="shared" si="492"/>
        <v>0</v>
      </c>
      <c r="AE408" s="31">
        <f t="shared" si="493"/>
        <v>0</v>
      </c>
      <c r="AF408" s="31">
        <f t="shared" si="494"/>
        <v>0</v>
      </c>
      <c r="AG408" s="31">
        <f t="shared" si="495"/>
        <v>0</v>
      </c>
      <c r="AH408" s="26"/>
      <c r="AI408" s="17">
        <f t="shared" si="496"/>
        <v>0</v>
      </c>
      <c r="AJ408" s="17">
        <f t="shared" si="497"/>
        <v>0</v>
      </c>
      <c r="AK408" s="17">
        <f t="shared" si="498"/>
        <v>0</v>
      </c>
      <c r="AM408" s="31">
        <v>21</v>
      </c>
      <c r="AN408" s="31">
        <f>G408*0.221642121853913</f>
        <v>0</v>
      </c>
      <c r="AO408" s="31">
        <f>G408*(1-0.221642121853913)</f>
        <v>0</v>
      </c>
      <c r="AP408" s="27" t="s">
        <v>8</v>
      </c>
      <c r="AU408" s="31">
        <f t="shared" si="499"/>
        <v>0</v>
      </c>
      <c r="AV408" s="31">
        <f t="shared" si="500"/>
        <v>0</v>
      </c>
      <c r="AW408" s="31">
        <f t="shared" si="501"/>
        <v>0</v>
      </c>
      <c r="AX408" s="32" t="s">
        <v>1197</v>
      </c>
      <c r="AY408" s="32" t="s">
        <v>1214</v>
      </c>
      <c r="AZ408" s="26" t="s">
        <v>1215</v>
      </c>
      <c r="BB408" s="31">
        <f t="shared" si="502"/>
        <v>0</v>
      </c>
      <c r="BC408" s="31">
        <f t="shared" si="503"/>
        <v>0</v>
      </c>
      <c r="BD408" s="31">
        <v>0</v>
      </c>
      <c r="BE408" s="31">
        <f t="shared" si="504"/>
        <v>0.02912</v>
      </c>
      <c r="BG408" s="17">
        <f t="shared" si="505"/>
        <v>0</v>
      </c>
      <c r="BH408" s="17">
        <f t="shared" si="506"/>
        <v>0</v>
      </c>
      <c r="BI408" s="17">
        <f t="shared" si="507"/>
        <v>0</v>
      </c>
    </row>
    <row r="409" spans="1:61" ht="12.75">
      <c r="A409" s="4" t="s">
        <v>356</v>
      </c>
      <c r="B409" s="4"/>
      <c r="C409" s="4" t="s">
        <v>714</v>
      </c>
      <c r="D409" s="71" t="s">
        <v>1096</v>
      </c>
      <c r="E409" s="4" t="s">
        <v>1120</v>
      </c>
      <c r="F409" s="17">
        <v>2</v>
      </c>
      <c r="G409" s="148">
        <v>0</v>
      </c>
      <c r="H409" s="17">
        <f t="shared" si="484"/>
        <v>0</v>
      </c>
      <c r="I409" s="17">
        <f t="shared" si="485"/>
        <v>0</v>
      </c>
      <c r="J409" s="17">
        <f t="shared" si="486"/>
        <v>0</v>
      </c>
      <c r="K409" s="17">
        <v>0.0065</v>
      </c>
      <c r="L409" s="17">
        <f t="shared" si="487"/>
        <v>0.013</v>
      </c>
      <c r="Y409" s="31">
        <f t="shared" si="488"/>
        <v>0</v>
      </c>
      <c r="AA409" s="31">
        <f t="shared" si="489"/>
        <v>0</v>
      </c>
      <c r="AB409" s="31">
        <f t="shared" si="490"/>
        <v>0</v>
      </c>
      <c r="AC409" s="31">
        <f t="shared" si="491"/>
        <v>0</v>
      </c>
      <c r="AD409" s="31">
        <f t="shared" si="492"/>
        <v>0</v>
      </c>
      <c r="AE409" s="31">
        <f t="shared" si="493"/>
        <v>0</v>
      </c>
      <c r="AF409" s="31">
        <f t="shared" si="494"/>
        <v>0</v>
      </c>
      <c r="AG409" s="31">
        <f t="shared" si="495"/>
        <v>0</v>
      </c>
      <c r="AH409" s="26"/>
      <c r="AI409" s="17">
        <f t="shared" si="496"/>
        <v>0</v>
      </c>
      <c r="AJ409" s="17">
        <f t="shared" si="497"/>
        <v>0</v>
      </c>
      <c r="AK409" s="17">
        <f t="shared" si="498"/>
        <v>0</v>
      </c>
      <c r="AM409" s="31">
        <v>21</v>
      </c>
      <c r="AN409" s="31">
        <f>G409*0.613106636492002</f>
        <v>0</v>
      </c>
      <c r="AO409" s="31">
        <f>G409*(1-0.613106636492002)</f>
        <v>0</v>
      </c>
      <c r="AP409" s="27" t="s">
        <v>8</v>
      </c>
      <c r="AU409" s="31">
        <f t="shared" si="499"/>
        <v>0</v>
      </c>
      <c r="AV409" s="31">
        <f t="shared" si="500"/>
        <v>0</v>
      </c>
      <c r="AW409" s="31">
        <f t="shared" si="501"/>
        <v>0</v>
      </c>
      <c r="AX409" s="32" t="s">
        <v>1197</v>
      </c>
      <c r="AY409" s="32" t="s">
        <v>1214</v>
      </c>
      <c r="AZ409" s="26" t="s">
        <v>1215</v>
      </c>
      <c r="BB409" s="31">
        <f t="shared" si="502"/>
        <v>0</v>
      </c>
      <c r="BC409" s="31">
        <f t="shared" si="503"/>
        <v>0</v>
      </c>
      <c r="BD409" s="31">
        <v>0</v>
      </c>
      <c r="BE409" s="31">
        <f t="shared" si="504"/>
        <v>0.013</v>
      </c>
      <c r="BG409" s="17">
        <f t="shared" si="505"/>
        <v>0</v>
      </c>
      <c r="BH409" s="17">
        <f t="shared" si="506"/>
        <v>0</v>
      </c>
      <c r="BI409" s="17">
        <f t="shared" si="507"/>
        <v>0</v>
      </c>
    </row>
    <row r="410" spans="1:61" ht="25.5">
      <c r="A410" s="4" t="s">
        <v>357</v>
      </c>
      <c r="B410" s="4"/>
      <c r="C410" s="4" t="s">
        <v>715</v>
      </c>
      <c r="D410" s="71" t="s">
        <v>1097</v>
      </c>
      <c r="E410" s="4" t="s">
        <v>1125</v>
      </c>
      <c r="F410" s="17">
        <v>1</v>
      </c>
      <c r="G410" s="148">
        <v>0</v>
      </c>
      <c r="H410" s="17">
        <f t="shared" si="484"/>
        <v>0</v>
      </c>
      <c r="I410" s="17">
        <f t="shared" si="485"/>
        <v>0</v>
      </c>
      <c r="J410" s="17">
        <f t="shared" si="486"/>
        <v>0</v>
      </c>
      <c r="K410" s="17">
        <v>0.00012</v>
      </c>
      <c r="L410" s="17">
        <f t="shared" si="487"/>
        <v>0.00012</v>
      </c>
      <c r="Y410" s="31">
        <f t="shared" si="488"/>
        <v>0</v>
      </c>
      <c r="AA410" s="31">
        <f t="shared" si="489"/>
        <v>0</v>
      </c>
      <c r="AB410" s="31">
        <f t="shared" si="490"/>
        <v>0</v>
      </c>
      <c r="AC410" s="31">
        <f t="shared" si="491"/>
        <v>0</v>
      </c>
      <c r="AD410" s="31">
        <f t="shared" si="492"/>
        <v>0</v>
      </c>
      <c r="AE410" s="31">
        <f t="shared" si="493"/>
        <v>0</v>
      </c>
      <c r="AF410" s="31">
        <f t="shared" si="494"/>
        <v>0</v>
      </c>
      <c r="AG410" s="31">
        <f t="shared" si="495"/>
        <v>0</v>
      </c>
      <c r="AH410" s="26"/>
      <c r="AI410" s="17">
        <f t="shared" si="496"/>
        <v>0</v>
      </c>
      <c r="AJ410" s="17">
        <f t="shared" si="497"/>
        <v>0</v>
      </c>
      <c r="AK410" s="17">
        <f t="shared" si="498"/>
        <v>0</v>
      </c>
      <c r="AM410" s="31">
        <v>21</v>
      </c>
      <c r="AN410" s="31">
        <f>G410*0.374832470709619</f>
        <v>0</v>
      </c>
      <c r="AO410" s="31">
        <f>G410*(1-0.374832470709619)</f>
        <v>0</v>
      </c>
      <c r="AP410" s="27" t="s">
        <v>8</v>
      </c>
      <c r="AU410" s="31">
        <f t="shared" si="499"/>
        <v>0</v>
      </c>
      <c r="AV410" s="31">
        <f t="shared" si="500"/>
        <v>0</v>
      </c>
      <c r="AW410" s="31">
        <f t="shared" si="501"/>
        <v>0</v>
      </c>
      <c r="AX410" s="32" t="s">
        <v>1197</v>
      </c>
      <c r="AY410" s="32" t="s">
        <v>1214</v>
      </c>
      <c r="AZ410" s="26" t="s">
        <v>1215</v>
      </c>
      <c r="BB410" s="31">
        <f t="shared" si="502"/>
        <v>0</v>
      </c>
      <c r="BC410" s="31">
        <f t="shared" si="503"/>
        <v>0</v>
      </c>
      <c r="BD410" s="31">
        <v>0</v>
      </c>
      <c r="BE410" s="31">
        <f t="shared" si="504"/>
        <v>0.00012</v>
      </c>
      <c r="BG410" s="17">
        <f t="shared" si="505"/>
        <v>0</v>
      </c>
      <c r="BH410" s="17">
        <f t="shared" si="506"/>
        <v>0</v>
      </c>
      <c r="BI410" s="17">
        <f t="shared" si="507"/>
        <v>0</v>
      </c>
    </row>
    <row r="411" spans="1:61" ht="12.75">
      <c r="A411" s="4" t="s">
        <v>358</v>
      </c>
      <c r="B411" s="4"/>
      <c r="C411" s="4" t="s">
        <v>716</v>
      </c>
      <c r="D411" s="71" t="s">
        <v>1098</v>
      </c>
      <c r="E411" s="4" t="s">
        <v>1125</v>
      </c>
      <c r="F411" s="17">
        <v>1</v>
      </c>
      <c r="G411" s="148">
        <v>0</v>
      </c>
      <c r="H411" s="17">
        <f t="shared" si="484"/>
        <v>0</v>
      </c>
      <c r="I411" s="17">
        <f t="shared" si="485"/>
        <v>0</v>
      </c>
      <c r="J411" s="17">
        <f t="shared" si="486"/>
        <v>0</v>
      </c>
      <c r="K411" s="17">
        <v>0</v>
      </c>
      <c r="L411" s="17">
        <f t="shared" si="487"/>
        <v>0</v>
      </c>
      <c r="Y411" s="31">
        <f t="shared" si="488"/>
        <v>0</v>
      </c>
      <c r="AA411" s="31">
        <f t="shared" si="489"/>
        <v>0</v>
      </c>
      <c r="AB411" s="31">
        <f t="shared" si="490"/>
        <v>0</v>
      </c>
      <c r="AC411" s="31">
        <f t="shared" si="491"/>
        <v>0</v>
      </c>
      <c r="AD411" s="31">
        <f t="shared" si="492"/>
        <v>0</v>
      </c>
      <c r="AE411" s="31">
        <f t="shared" si="493"/>
        <v>0</v>
      </c>
      <c r="AF411" s="31">
        <f t="shared" si="494"/>
        <v>0</v>
      </c>
      <c r="AG411" s="31">
        <f t="shared" si="495"/>
        <v>0</v>
      </c>
      <c r="AH411" s="26"/>
      <c r="AI411" s="17">
        <f t="shared" si="496"/>
        <v>0</v>
      </c>
      <c r="AJ411" s="17">
        <f t="shared" si="497"/>
        <v>0</v>
      </c>
      <c r="AK411" s="17">
        <f t="shared" si="498"/>
        <v>0</v>
      </c>
      <c r="AM411" s="31">
        <v>21</v>
      </c>
      <c r="AN411" s="31">
        <f>G411*0.0399456738835184</f>
        <v>0</v>
      </c>
      <c r="AO411" s="31">
        <f>G411*(1-0.0399456738835184)</f>
        <v>0</v>
      </c>
      <c r="AP411" s="27" t="s">
        <v>8</v>
      </c>
      <c r="AU411" s="31">
        <f t="shared" si="499"/>
        <v>0</v>
      </c>
      <c r="AV411" s="31">
        <f t="shared" si="500"/>
        <v>0</v>
      </c>
      <c r="AW411" s="31">
        <f t="shared" si="501"/>
        <v>0</v>
      </c>
      <c r="AX411" s="32" t="s">
        <v>1197</v>
      </c>
      <c r="AY411" s="32" t="s">
        <v>1214</v>
      </c>
      <c r="AZ411" s="26" t="s">
        <v>1215</v>
      </c>
      <c r="BB411" s="31">
        <f t="shared" si="502"/>
        <v>0</v>
      </c>
      <c r="BC411" s="31">
        <f t="shared" si="503"/>
        <v>0</v>
      </c>
      <c r="BD411" s="31">
        <v>0</v>
      </c>
      <c r="BE411" s="31">
        <f t="shared" si="504"/>
        <v>0</v>
      </c>
      <c r="BG411" s="17">
        <f t="shared" si="505"/>
        <v>0</v>
      </c>
      <c r="BH411" s="17">
        <f t="shared" si="506"/>
        <v>0</v>
      </c>
      <c r="BI411" s="17">
        <f t="shared" si="507"/>
        <v>0</v>
      </c>
    </row>
    <row r="412" spans="1:61" ht="25.5">
      <c r="A412" s="4" t="s">
        <v>359</v>
      </c>
      <c r="B412" s="4"/>
      <c r="C412" s="4" t="s">
        <v>717</v>
      </c>
      <c r="D412" s="71" t="s">
        <v>1099</v>
      </c>
      <c r="E412" s="4" t="s">
        <v>1126</v>
      </c>
      <c r="F412" s="17">
        <v>1</v>
      </c>
      <c r="G412" s="148">
        <v>0</v>
      </c>
      <c r="H412" s="17">
        <f t="shared" si="484"/>
        <v>0</v>
      </c>
      <c r="I412" s="17">
        <f t="shared" si="485"/>
        <v>0</v>
      </c>
      <c r="J412" s="17">
        <f t="shared" si="486"/>
        <v>0</v>
      </c>
      <c r="K412" s="17">
        <v>0.00019</v>
      </c>
      <c r="L412" s="17">
        <f t="shared" si="487"/>
        <v>0.00019</v>
      </c>
      <c r="Y412" s="31">
        <f t="shared" si="488"/>
        <v>0</v>
      </c>
      <c r="AA412" s="31">
        <f t="shared" si="489"/>
        <v>0</v>
      </c>
      <c r="AB412" s="31">
        <f t="shared" si="490"/>
        <v>0</v>
      </c>
      <c r="AC412" s="31">
        <f t="shared" si="491"/>
        <v>0</v>
      </c>
      <c r="AD412" s="31">
        <f t="shared" si="492"/>
        <v>0</v>
      </c>
      <c r="AE412" s="31">
        <f t="shared" si="493"/>
        <v>0</v>
      </c>
      <c r="AF412" s="31">
        <f t="shared" si="494"/>
        <v>0</v>
      </c>
      <c r="AG412" s="31">
        <f t="shared" si="495"/>
        <v>0</v>
      </c>
      <c r="AH412" s="26"/>
      <c r="AI412" s="17">
        <f t="shared" si="496"/>
        <v>0</v>
      </c>
      <c r="AJ412" s="17">
        <f t="shared" si="497"/>
        <v>0</v>
      </c>
      <c r="AK412" s="17">
        <f t="shared" si="498"/>
        <v>0</v>
      </c>
      <c r="AM412" s="31">
        <v>21</v>
      </c>
      <c r="AN412" s="31">
        <f>G412*0.947368421052632</f>
        <v>0</v>
      </c>
      <c r="AO412" s="31">
        <f>G412*(1-0.947368421052632)</f>
        <v>0</v>
      </c>
      <c r="AP412" s="27" t="s">
        <v>8</v>
      </c>
      <c r="AU412" s="31">
        <f t="shared" si="499"/>
        <v>0</v>
      </c>
      <c r="AV412" s="31">
        <f t="shared" si="500"/>
        <v>0</v>
      </c>
      <c r="AW412" s="31">
        <f t="shared" si="501"/>
        <v>0</v>
      </c>
      <c r="AX412" s="32" t="s">
        <v>1197</v>
      </c>
      <c r="AY412" s="32" t="s">
        <v>1214</v>
      </c>
      <c r="AZ412" s="26" t="s">
        <v>1215</v>
      </c>
      <c r="BB412" s="31">
        <f t="shared" si="502"/>
        <v>0</v>
      </c>
      <c r="BC412" s="31">
        <f t="shared" si="503"/>
        <v>0</v>
      </c>
      <c r="BD412" s="31">
        <v>0</v>
      </c>
      <c r="BE412" s="31">
        <f t="shared" si="504"/>
        <v>0.00019</v>
      </c>
      <c r="BG412" s="17">
        <f t="shared" si="505"/>
        <v>0</v>
      </c>
      <c r="BH412" s="17">
        <f t="shared" si="506"/>
        <v>0</v>
      </c>
      <c r="BI412" s="17">
        <f t="shared" si="507"/>
        <v>0</v>
      </c>
    </row>
    <row r="413" spans="1:61" ht="12.75">
      <c r="A413" s="4" t="s">
        <v>360</v>
      </c>
      <c r="B413" s="4"/>
      <c r="C413" s="4" t="s">
        <v>718</v>
      </c>
      <c r="D413" s="71" t="s">
        <v>1100</v>
      </c>
      <c r="E413" s="4" t="s">
        <v>1125</v>
      </c>
      <c r="F413" s="17">
        <v>1</v>
      </c>
      <c r="G413" s="148">
        <v>0</v>
      </c>
      <c r="H413" s="17">
        <f t="shared" si="484"/>
        <v>0</v>
      </c>
      <c r="I413" s="17">
        <f t="shared" si="485"/>
        <v>0</v>
      </c>
      <c r="J413" s="17">
        <f t="shared" si="486"/>
        <v>0</v>
      </c>
      <c r="K413" s="17">
        <v>0</v>
      </c>
      <c r="L413" s="17">
        <f t="shared" si="487"/>
        <v>0</v>
      </c>
      <c r="Y413" s="31">
        <f t="shared" si="488"/>
        <v>0</v>
      </c>
      <c r="AA413" s="31">
        <f t="shared" si="489"/>
        <v>0</v>
      </c>
      <c r="AB413" s="31">
        <f t="shared" si="490"/>
        <v>0</v>
      </c>
      <c r="AC413" s="31">
        <f t="shared" si="491"/>
        <v>0</v>
      </c>
      <c r="AD413" s="31">
        <f t="shared" si="492"/>
        <v>0</v>
      </c>
      <c r="AE413" s="31">
        <f t="shared" si="493"/>
        <v>0</v>
      </c>
      <c r="AF413" s="31">
        <f t="shared" si="494"/>
        <v>0</v>
      </c>
      <c r="AG413" s="31">
        <f t="shared" si="495"/>
        <v>0</v>
      </c>
      <c r="AH413" s="26"/>
      <c r="AI413" s="17">
        <f t="shared" si="496"/>
        <v>0</v>
      </c>
      <c r="AJ413" s="17">
        <f t="shared" si="497"/>
        <v>0</v>
      </c>
      <c r="AK413" s="17">
        <f t="shared" si="498"/>
        <v>0</v>
      </c>
      <c r="AM413" s="31">
        <v>21</v>
      </c>
      <c r="AN413" s="31">
        <f>G413*0.833333333333333</f>
        <v>0</v>
      </c>
      <c r="AO413" s="31">
        <f>G413*(1-0.833333333333333)</f>
        <v>0</v>
      </c>
      <c r="AP413" s="27" t="s">
        <v>8</v>
      </c>
      <c r="AU413" s="31">
        <f t="shared" si="499"/>
        <v>0</v>
      </c>
      <c r="AV413" s="31">
        <f t="shared" si="500"/>
        <v>0</v>
      </c>
      <c r="AW413" s="31">
        <f t="shared" si="501"/>
        <v>0</v>
      </c>
      <c r="AX413" s="32" t="s">
        <v>1197</v>
      </c>
      <c r="AY413" s="32" t="s">
        <v>1214</v>
      </c>
      <c r="AZ413" s="26" t="s">
        <v>1215</v>
      </c>
      <c r="BB413" s="31">
        <f t="shared" si="502"/>
        <v>0</v>
      </c>
      <c r="BC413" s="31">
        <f t="shared" si="503"/>
        <v>0</v>
      </c>
      <c r="BD413" s="31">
        <v>0</v>
      </c>
      <c r="BE413" s="31">
        <f t="shared" si="504"/>
        <v>0</v>
      </c>
      <c r="BG413" s="17">
        <f t="shared" si="505"/>
        <v>0</v>
      </c>
      <c r="BH413" s="17">
        <f t="shared" si="506"/>
        <v>0</v>
      </c>
      <c r="BI413" s="17">
        <f t="shared" si="507"/>
        <v>0</v>
      </c>
    </row>
    <row r="414" spans="1:61" ht="12.75">
      <c r="A414" s="4" t="s">
        <v>361</v>
      </c>
      <c r="B414" s="4"/>
      <c r="C414" s="4" t="s">
        <v>719</v>
      </c>
      <c r="D414" s="71" t="s">
        <v>1101</v>
      </c>
      <c r="E414" s="4" t="s">
        <v>1125</v>
      </c>
      <c r="F414" s="17">
        <v>1</v>
      </c>
      <c r="G414" s="148">
        <v>0</v>
      </c>
      <c r="H414" s="17">
        <f t="shared" si="484"/>
        <v>0</v>
      </c>
      <c r="I414" s="17">
        <f t="shared" si="485"/>
        <v>0</v>
      </c>
      <c r="J414" s="17">
        <f t="shared" si="486"/>
        <v>0</v>
      </c>
      <c r="K414" s="17">
        <v>0</v>
      </c>
      <c r="L414" s="17">
        <f t="shared" si="487"/>
        <v>0</v>
      </c>
      <c r="Y414" s="31">
        <f t="shared" si="488"/>
        <v>0</v>
      </c>
      <c r="AA414" s="31">
        <f t="shared" si="489"/>
        <v>0</v>
      </c>
      <c r="AB414" s="31">
        <f t="shared" si="490"/>
        <v>0</v>
      </c>
      <c r="AC414" s="31">
        <f t="shared" si="491"/>
        <v>0</v>
      </c>
      <c r="AD414" s="31">
        <f t="shared" si="492"/>
        <v>0</v>
      </c>
      <c r="AE414" s="31">
        <f t="shared" si="493"/>
        <v>0</v>
      </c>
      <c r="AF414" s="31">
        <f t="shared" si="494"/>
        <v>0</v>
      </c>
      <c r="AG414" s="31">
        <f t="shared" si="495"/>
        <v>0</v>
      </c>
      <c r="AH414" s="26"/>
      <c r="AI414" s="17">
        <f t="shared" si="496"/>
        <v>0</v>
      </c>
      <c r="AJ414" s="17">
        <f t="shared" si="497"/>
        <v>0</v>
      </c>
      <c r="AK414" s="17">
        <f t="shared" si="498"/>
        <v>0</v>
      </c>
      <c r="AM414" s="31">
        <v>21</v>
      </c>
      <c r="AN414" s="31">
        <f>G414*0.863636363636364</f>
        <v>0</v>
      </c>
      <c r="AO414" s="31">
        <f>G414*(1-0.863636363636364)</f>
        <v>0</v>
      </c>
      <c r="AP414" s="27" t="s">
        <v>8</v>
      </c>
      <c r="AU414" s="31">
        <f t="shared" si="499"/>
        <v>0</v>
      </c>
      <c r="AV414" s="31">
        <f t="shared" si="500"/>
        <v>0</v>
      </c>
      <c r="AW414" s="31">
        <f t="shared" si="501"/>
        <v>0</v>
      </c>
      <c r="AX414" s="32" t="s">
        <v>1197</v>
      </c>
      <c r="AY414" s="32" t="s">
        <v>1214</v>
      </c>
      <c r="AZ414" s="26" t="s">
        <v>1215</v>
      </c>
      <c r="BB414" s="31">
        <f t="shared" si="502"/>
        <v>0</v>
      </c>
      <c r="BC414" s="31">
        <f t="shared" si="503"/>
        <v>0</v>
      </c>
      <c r="BD414" s="31">
        <v>0</v>
      </c>
      <c r="BE414" s="31">
        <f t="shared" si="504"/>
        <v>0</v>
      </c>
      <c r="BG414" s="17">
        <f t="shared" si="505"/>
        <v>0</v>
      </c>
      <c r="BH414" s="17">
        <f t="shared" si="506"/>
        <v>0</v>
      </c>
      <c r="BI414" s="17">
        <f t="shared" si="507"/>
        <v>0</v>
      </c>
    </row>
    <row r="415" spans="1:61" ht="12.75">
      <c r="A415" s="4" t="s">
        <v>362</v>
      </c>
      <c r="B415" s="4"/>
      <c r="C415" s="4" t="s">
        <v>720</v>
      </c>
      <c r="D415" s="71" t="s">
        <v>1294</v>
      </c>
      <c r="E415" s="4" t="s">
        <v>1125</v>
      </c>
      <c r="F415" s="17">
        <v>1</v>
      </c>
      <c r="G415" s="148">
        <v>0</v>
      </c>
      <c r="H415" s="17">
        <f t="shared" si="484"/>
        <v>0</v>
      </c>
      <c r="I415" s="17">
        <f t="shared" si="485"/>
        <v>0</v>
      </c>
      <c r="J415" s="17">
        <f t="shared" si="486"/>
        <v>0</v>
      </c>
      <c r="K415" s="17">
        <v>0</v>
      </c>
      <c r="L415" s="17">
        <f t="shared" si="487"/>
        <v>0</v>
      </c>
      <c r="Y415" s="31">
        <f t="shared" si="488"/>
        <v>0</v>
      </c>
      <c r="AA415" s="31">
        <f t="shared" si="489"/>
        <v>0</v>
      </c>
      <c r="AB415" s="31">
        <f t="shared" si="490"/>
        <v>0</v>
      </c>
      <c r="AC415" s="31">
        <f t="shared" si="491"/>
        <v>0</v>
      </c>
      <c r="AD415" s="31">
        <f t="shared" si="492"/>
        <v>0</v>
      </c>
      <c r="AE415" s="31">
        <f t="shared" si="493"/>
        <v>0</v>
      </c>
      <c r="AF415" s="31">
        <f t="shared" si="494"/>
        <v>0</v>
      </c>
      <c r="AG415" s="31">
        <f t="shared" si="495"/>
        <v>0</v>
      </c>
      <c r="AH415" s="26"/>
      <c r="AI415" s="17">
        <f t="shared" si="496"/>
        <v>0</v>
      </c>
      <c r="AJ415" s="17">
        <f t="shared" si="497"/>
        <v>0</v>
      </c>
      <c r="AK415" s="17">
        <f t="shared" si="498"/>
        <v>0</v>
      </c>
      <c r="AM415" s="31">
        <v>21</v>
      </c>
      <c r="AN415" s="31">
        <f>G415*0.69047619047619</f>
        <v>0</v>
      </c>
      <c r="AO415" s="31">
        <f>G415*(1-0.69047619047619)</f>
        <v>0</v>
      </c>
      <c r="AP415" s="27" t="s">
        <v>8</v>
      </c>
      <c r="AU415" s="31">
        <f t="shared" si="499"/>
        <v>0</v>
      </c>
      <c r="AV415" s="31">
        <f t="shared" si="500"/>
        <v>0</v>
      </c>
      <c r="AW415" s="31">
        <f t="shared" si="501"/>
        <v>0</v>
      </c>
      <c r="AX415" s="32" t="s">
        <v>1197</v>
      </c>
      <c r="AY415" s="32" t="s">
        <v>1214</v>
      </c>
      <c r="AZ415" s="26" t="s">
        <v>1215</v>
      </c>
      <c r="BB415" s="31">
        <f t="shared" si="502"/>
        <v>0</v>
      </c>
      <c r="BC415" s="31">
        <f t="shared" si="503"/>
        <v>0</v>
      </c>
      <c r="BD415" s="31">
        <v>0</v>
      </c>
      <c r="BE415" s="31">
        <f t="shared" si="504"/>
        <v>0</v>
      </c>
      <c r="BG415" s="17">
        <f t="shared" si="505"/>
        <v>0</v>
      </c>
      <c r="BH415" s="17">
        <f t="shared" si="506"/>
        <v>0</v>
      </c>
      <c r="BI415" s="17">
        <f t="shared" si="507"/>
        <v>0</v>
      </c>
    </row>
    <row r="416" spans="1:61" ht="12.75">
      <c r="A416" s="4" t="s">
        <v>363</v>
      </c>
      <c r="B416" s="4"/>
      <c r="C416" s="4" t="s">
        <v>721</v>
      </c>
      <c r="D416" s="71" t="s">
        <v>1102</v>
      </c>
      <c r="E416" s="4" t="s">
        <v>1125</v>
      </c>
      <c r="F416" s="17">
        <v>1</v>
      </c>
      <c r="G416" s="148">
        <v>0</v>
      </c>
      <c r="H416" s="17">
        <f t="shared" si="484"/>
        <v>0</v>
      </c>
      <c r="I416" s="17">
        <f t="shared" si="485"/>
        <v>0</v>
      </c>
      <c r="J416" s="17">
        <f t="shared" si="486"/>
        <v>0</v>
      </c>
      <c r="K416" s="17">
        <v>0</v>
      </c>
      <c r="L416" s="17">
        <f t="shared" si="487"/>
        <v>0</v>
      </c>
      <c r="Y416" s="31">
        <f t="shared" si="488"/>
        <v>0</v>
      </c>
      <c r="AA416" s="31">
        <f t="shared" si="489"/>
        <v>0</v>
      </c>
      <c r="AB416" s="31">
        <f t="shared" si="490"/>
        <v>0</v>
      </c>
      <c r="AC416" s="31">
        <f t="shared" si="491"/>
        <v>0</v>
      </c>
      <c r="AD416" s="31">
        <f t="shared" si="492"/>
        <v>0</v>
      </c>
      <c r="AE416" s="31">
        <f t="shared" si="493"/>
        <v>0</v>
      </c>
      <c r="AF416" s="31">
        <f t="shared" si="494"/>
        <v>0</v>
      </c>
      <c r="AG416" s="31">
        <f t="shared" si="495"/>
        <v>0</v>
      </c>
      <c r="AH416" s="26"/>
      <c r="AI416" s="17">
        <f t="shared" si="496"/>
        <v>0</v>
      </c>
      <c r="AJ416" s="17">
        <f t="shared" si="497"/>
        <v>0</v>
      </c>
      <c r="AK416" s="17">
        <f t="shared" si="498"/>
        <v>0</v>
      </c>
      <c r="AM416" s="31">
        <v>21</v>
      </c>
      <c r="AN416" s="31">
        <f>G416*0.714285714285714</f>
        <v>0</v>
      </c>
      <c r="AO416" s="31">
        <f>G416*(1-0.714285714285714)</f>
        <v>0</v>
      </c>
      <c r="AP416" s="27" t="s">
        <v>8</v>
      </c>
      <c r="AU416" s="31">
        <f t="shared" si="499"/>
        <v>0</v>
      </c>
      <c r="AV416" s="31">
        <f t="shared" si="500"/>
        <v>0</v>
      </c>
      <c r="AW416" s="31">
        <f t="shared" si="501"/>
        <v>0</v>
      </c>
      <c r="AX416" s="32" t="s">
        <v>1197</v>
      </c>
      <c r="AY416" s="32" t="s">
        <v>1214</v>
      </c>
      <c r="AZ416" s="26" t="s">
        <v>1215</v>
      </c>
      <c r="BB416" s="31">
        <f t="shared" si="502"/>
        <v>0</v>
      </c>
      <c r="BC416" s="31">
        <f t="shared" si="503"/>
        <v>0</v>
      </c>
      <c r="BD416" s="31">
        <v>0</v>
      </c>
      <c r="BE416" s="31">
        <f t="shared" si="504"/>
        <v>0</v>
      </c>
      <c r="BG416" s="17">
        <f t="shared" si="505"/>
        <v>0</v>
      </c>
      <c r="BH416" s="17">
        <f t="shared" si="506"/>
        <v>0</v>
      </c>
      <c r="BI416" s="17">
        <f t="shared" si="507"/>
        <v>0</v>
      </c>
    </row>
    <row r="417" spans="1:61" ht="12.75">
      <c r="A417" s="4" t="s">
        <v>364</v>
      </c>
      <c r="B417" s="4"/>
      <c r="C417" s="4" t="s">
        <v>722</v>
      </c>
      <c r="D417" s="71" t="s">
        <v>1103</v>
      </c>
      <c r="E417" s="4" t="s">
        <v>1125</v>
      </c>
      <c r="F417" s="17">
        <v>1</v>
      </c>
      <c r="G417" s="148">
        <v>0</v>
      </c>
      <c r="H417" s="17">
        <f t="shared" si="484"/>
        <v>0</v>
      </c>
      <c r="I417" s="17">
        <f t="shared" si="485"/>
        <v>0</v>
      </c>
      <c r="J417" s="17">
        <f t="shared" si="486"/>
        <v>0</v>
      </c>
      <c r="K417" s="17">
        <v>0</v>
      </c>
      <c r="L417" s="17">
        <f t="shared" si="487"/>
        <v>0</v>
      </c>
      <c r="Y417" s="31">
        <f t="shared" si="488"/>
        <v>0</v>
      </c>
      <c r="AA417" s="31">
        <f t="shared" si="489"/>
        <v>0</v>
      </c>
      <c r="AB417" s="31">
        <f t="shared" si="490"/>
        <v>0</v>
      </c>
      <c r="AC417" s="31">
        <f t="shared" si="491"/>
        <v>0</v>
      </c>
      <c r="AD417" s="31">
        <f t="shared" si="492"/>
        <v>0</v>
      </c>
      <c r="AE417" s="31">
        <f t="shared" si="493"/>
        <v>0</v>
      </c>
      <c r="AF417" s="31">
        <f t="shared" si="494"/>
        <v>0</v>
      </c>
      <c r="AG417" s="31">
        <f t="shared" si="495"/>
        <v>0</v>
      </c>
      <c r="AH417" s="26"/>
      <c r="AI417" s="17">
        <f t="shared" si="496"/>
        <v>0</v>
      </c>
      <c r="AJ417" s="17">
        <f t="shared" si="497"/>
        <v>0</v>
      </c>
      <c r="AK417" s="17">
        <f t="shared" si="498"/>
        <v>0</v>
      </c>
      <c r="AM417" s="31">
        <v>21</v>
      </c>
      <c r="AN417" s="31">
        <f>G417*0.354389127058071</f>
        <v>0</v>
      </c>
      <c r="AO417" s="31">
        <f>G417*(1-0.354389127058071)</f>
        <v>0</v>
      </c>
      <c r="AP417" s="27" t="s">
        <v>8</v>
      </c>
      <c r="AU417" s="31">
        <f t="shared" si="499"/>
        <v>0</v>
      </c>
      <c r="AV417" s="31">
        <f t="shared" si="500"/>
        <v>0</v>
      </c>
      <c r="AW417" s="31">
        <f t="shared" si="501"/>
        <v>0</v>
      </c>
      <c r="AX417" s="32" t="s">
        <v>1197</v>
      </c>
      <c r="AY417" s="32" t="s">
        <v>1214</v>
      </c>
      <c r="AZ417" s="26" t="s">
        <v>1215</v>
      </c>
      <c r="BB417" s="31">
        <f t="shared" si="502"/>
        <v>0</v>
      </c>
      <c r="BC417" s="31">
        <f t="shared" si="503"/>
        <v>0</v>
      </c>
      <c r="BD417" s="31">
        <v>0</v>
      </c>
      <c r="BE417" s="31">
        <f t="shared" si="504"/>
        <v>0</v>
      </c>
      <c r="BG417" s="17">
        <f t="shared" si="505"/>
        <v>0</v>
      </c>
      <c r="BH417" s="17">
        <f t="shared" si="506"/>
        <v>0</v>
      </c>
      <c r="BI417" s="17">
        <f t="shared" si="507"/>
        <v>0</v>
      </c>
    </row>
    <row r="418" spans="1:61" ht="12.75">
      <c r="A418" s="4" t="s">
        <v>365</v>
      </c>
      <c r="B418" s="4"/>
      <c r="C418" s="4" t="s">
        <v>723</v>
      </c>
      <c r="D418" s="71" t="s">
        <v>929</v>
      </c>
      <c r="E418" s="4" t="s">
        <v>1125</v>
      </c>
      <c r="F418" s="17">
        <v>1</v>
      </c>
      <c r="G418" s="148">
        <v>0</v>
      </c>
      <c r="H418" s="17">
        <f t="shared" si="484"/>
        <v>0</v>
      </c>
      <c r="I418" s="17">
        <f t="shared" si="485"/>
        <v>0</v>
      </c>
      <c r="J418" s="17">
        <f t="shared" si="486"/>
        <v>0</v>
      </c>
      <c r="K418" s="17">
        <v>0</v>
      </c>
      <c r="L418" s="17">
        <f t="shared" si="487"/>
        <v>0</v>
      </c>
      <c r="Y418" s="31">
        <f t="shared" si="488"/>
        <v>0</v>
      </c>
      <c r="AA418" s="31">
        <f t="shared" si="489"/>
        <v>0</v>
      </c>
      <c r="AB418" s="31">
        <f t="shared" si="490"/>
        <v>0</v>
      </c>
      <c r="AC418" s="31">
        <f t="shared" si="491"/>
        <v>0</v>
      </c>
      <c r="AD418" s="31">
        <f t="shared" si="492"/>
        <v>0</v>
      </c>
      <c r="AE418" s="31">
        <f t="shared" si="493"/>
        <v>0</v>
      </c>
      <c r="AF418" s="31">
        <f t="shared" si="494"/>
        <v>0</v>
      </c>
      <c r="AG418" s="31">
        <f t="shared" si="495"/>
        <v>0</v>
      </c>
      <c r="AH418" s="26"/>
      <c r="AI418" s="17">
        <f t="shared" si="496"/>
        <v>0</v>
      </c>
      <c r="AJ418" s="17">
        <f t="shared" si="497"/>
        <v>0</v>
      </c>
      <c r="AK418" s="17">
        <f t="shared" si="498"/>
        <v>0</v>
      </c>
      <c r="AM418" s="31">
        <v>21</v>
      </c>
      <c r="AN418" s="31">
        <f>G418*0.125</f>
        <v>0</v>
      </c>
      <c r="AO418" s="31">
        <f>G418*(1-0.125)</f>
        <v>0</v>
      </c>
      <c r="AP418" s="27" t="s">
        <v>8</v>
      </c>
      <c r="AU418" s="31">
        <f t="shared" si="499"/>
        <v>0</v>
      </c>
      <c r="AV418" s="31">
        <f t="shared" si="500"/>
        <v>0</v>
      </c>
      <c r="AW418" s="31">
        <f t="shared" si="501"/>
        <v>0</v>
      </c>
      <c r="AX418" s="32" t="s">
        <v>1197</v>
      </c>
      <c r="AY418" s="32" t="s">
        <v>1214</v>
      </c>
      <c r="AZ418" s="26" t="s">
        <v>1215</v>
      </c>
      <c r="BB418" s="31">
        <f t="shared" si="502"/>
        <v>0</v>
      </c>
      <c r="BC418" s="31">
        <f t="shared" si="503"/>
        <v>0</v>
      </c>
      <c r="BD418" s="31">
        <v>0</v>
      </c>
      <c r="BE418" s="31">
        <f t="shared" si="504"/>
        <v>0</v>
      </c>
      <c r="BG418" s="17">
        <f t="shared" si="505"/>
        <v>0</v>
      </c>
      <c r="BH418" s="17">
        <f t="shared" si="506"/>
        <v>0</v>
      </c>
      <c r="BI418" s="17">
        <f t="shared" si="507"/>
        <v>0</v>
      </c>
    </row>
    <row r="419" spans="1:61" ht="12.75">
      <c r="A419" s="4" t="s">
        <v>366</v>
      </c>
      <c r="B419" s="4"/>
      <c r="C419" s="4" t="s">
        <v>724</v>
      </c>
      <c r="D419" s="71" t="s">
        <v>1104</v>
      </c>
      <c r="E419" s="4" t="s">
        <v>1125</v>
      </c>
      <c r="F419" s="17">
        <v>1</v>
      </c>
      <c r="G419" s="148">
        <v>0</v>
      </c>
      <c r="H419" s="17">
        <f t="shared" si="484"/>
        <v>0</v>
      </c>
      <c r="I419" s="17">
        <f t="shared" si="485"/>
        <v>0</v>
      </c>
      <c r="J419" s="17">
        <f t="shared" si="486"/>
        <v>0</v>
      </c>
      <c r="K419" s="17">
        <v>0.00012</v>
      </c>
      <c r="L419" s="17">
        <f t="shared" si="487"/>
        <v>0.00012</v>
      </c>
      <c r="Y419" s="31">
        <f t="shared" si="488"/>
        <v>0</v>
      </c>
      <c r="AA419" s="31">
        <f t="shared" si="489"/>
        <v>0</v>
      </c>
      <c r="AB419" s="31">
        <f t="shared" si="490"/>
        <v>0</v>
      </c>
      <c r="AC419" s="31">
        <f t="shared" si="491"/>
        <v>0</v>
      </c>
      <c r="AD419" s="31">
        <f t="shared" si="492"/>
        <v>0</v>
      </c>
      <c r="AE419" s="31">
        <f t="shared" si="493"/>
        <v>0</v>
      </c>
      <c r="AF419" s="31">
        <f t="shared" si="494"/>
        <v>0</v>
      </c>
      <c r="AG419" s="31">
        <f t="shared" si="495"/>
        <v>0</v>
      </c>
      <c r="AH419" s="26"/>
      <c r="AI419" s="17">
        <f t="shared" si="496"/>
        <v>0</v>
      </c>
      <c r="AJ419" s="17">
        <f t="shared" si="497"/>
        <v>0</v>
      </c>
      <c r="AK419" s="17">
        <f t="shared" si="498"/>
        <v>0</v>
      </c>
      <c r="AM419" s="31">
        <v>21</v>
      </c>
      <c r="AN419" s="31">
        <f>G419*1</f>
        <v>0</v>
      </c>
      <c r="AO419" s="31">
        <f>G419*(1-1)</f>
        <v>0</v>
      </c>
      <c r="AP419" s="27" t="s">
        <v>8</v>
      </c>
      <c r="AU419" s="31">
        <f t="shared" si="499"/>
        <v>0</v>
      </c>
      <c r="AV419" s="31">
        <f t="shared" si="500"/>
        <v>0</v>
      </c>
      <c r="AW419" s="31">
        <f t="shared" si="501"/>
        <v>0</v>
      </c>
      <c r="AX419" s="32" t="s">
        <v>1197</v>
      </c>
      <c r="AY419" s="32" t="s">
        <v>1214</v>
      </c>
      <c r="AZ419" s="26" t="s">
        <v>1215</v>
      </c>
      <c r="BB419" s="31">
        <f t="shared" si="502"/>
        <v>0</v>
      </c>
      <c r="BC419" s="31">
        <f t="shared" si="503"/>
        <v>0</v>
      </c>
      <c r="BD419" s="31">
        <v>0</v>
      </c>
      <c r="BE419" s="31">
        <f t="shared" si="504"/>
        <v>0.00012</v>
      </c>
      <c r="BG419" s="17">
        <f t="shared" si="505"/>
        <v>0</v>
      </c>
      <c r="BH419" s="17">
        <f t="shared" si="506"/>
        <v>0</v>
      </c>
      <c r="BI419" s="17">
        <f t="shared" si="507"/>
        <v>0</v>
      </c>
    </row>
    <row r="420" spans="1:46" ht="12.75">
      <c r="A420" s="6"/>
      <c r="B420" s="13"/>
      <c r="C420" s="13" t="s">
        <v>725</v>
      </c>
      <c r="D420" s="73" t="s">
        <v>1105</v>
      </c>
      <c r="E420" s="6" t="s">
        <v>6</v>
      </c>
      <c r="F420" s="6" t="s">
        <v>6</v>
      </c>
      <c r="G420" s="151" t="s">
        <v>6</v>
      </c>
      <c r="H420" s="34">
        <f>SUM(H421:H421)</f>
        <v>0</v>
      </c>
      <c r="I420" s="34">
        <f>SUM(I421:I421)</f>
        <v>0</v>
      </c>
      <c r="J420" s="34">
        <f>SUM(J421:J421)</f>
        <v>0</v>
      </c>
      <c r="K420" s="26"/>
      <c r="L420" s="34">
        <f>SUM(L421:L421)</f>
        <v>0</v>
      </c>
      <c r="AH420" s="26"/>
      <c r="AR420" s="34">
        <f>SUM(AI421:AI421)</f>
        <v>0</v>
      </c>
      <c r="AS420" s="34">
        <f>SUM(AJ421:AJ421)</f>
        <v>0</v>
      </c>
      <c r="AT420" s="34">
        <f>SUM(AK421:AK421)</f>
        <v>0</v>
      </c>
    </row>
    <row r="421" spans="1:61" ht="25.5">
      <c r="A421" s="4" t="s">
        <v>367</v>
      </c>
      <c r="B421" s="4"/>
      <c r="C421" s="4" t="s">
        <v>726</v>
      </c>
      <c r="D421" s="71" t="s">
        <v>1106</v>
      </c>
      <c r="E421" s="4" t="s">
        <v>1126</v>
      </c>
      <c r="F421" s="17">
        <v>1</v>
      </c>
      <c r="G421" s="148">
        <v>0</v>
      </c>
      <c r="H421" s="17">
        <f>F421*AN421</f>
        <v>0</v>
      </c>
      <c r="I421" s="17">
        <f>F421*AO421</f>
        <v>0</v>
      </c>
      <c r="J421" s="17">
        <f>F421*G421</f>
        <v>0</v>
      </c>
      <c r="K421" s="17">
        <v>0</v>
      </c>
      <c r="L421" s="17">
        <f>F421*K421</f>
        <v>0</v>
      </c>
      <c r="Y421" s="31">
        <f>IF(AP421="5",BI421,0)</f>
        <v>0</v>
      </c>
      <c r="AA421" s="31">
        <f>IF(AP421="1",BG421,0)</f>
        <v>0</v>
      </c>
      <c r="AB421" s="31">
        <f>IF(AP421="1",BH421,0)</f>
        <v>0</v>
      </c>
      <c r="AC421" s="31">
        <f>IF(AP421="7",BG421,0)</f>
        <v>0</v>
      </c>
      <c r="AD421" s="31">
        <f>IF(AP421="7",BH421,0)</f>
        <v>0</v>
      </c>
      <c r="AE421" s="31">
        <f>IF(AP421="2",BG421,0)</f>
        <v>0</v>
      </c>
      <c r="AF421" s="31">
        <f>IF(AP421="2",BH421,0)</f>
        <v>0</v>
      </c>
      <c r="AG421" s="31">
        <f>IF(AP421="0",BI421,0)</f>
        <v>0</v>
      </c>
      <c r="AH421" s="26"/>
      <c r="AI421" s="17">
        <f>IF(AM421=0,J421,0)</f>
        <v>0</v>
      </c>
      <c r="AJ421" s="17">
        <f>IF(AM421=15,J421,0)</f>
        <v>0</v>
      </c>
      <c r="AK421" s="17">
        <f>IF(AM421=21,J421,0)</f>
        <v>0</v>
      </c>
      <c r="AM421" s="31">
        <v>21</v>
      </c>
      <c r="AN421" s="31">
        <f>G421*0.775945428571429</f>
        <v>0</v>
      </c>
      <c r="AO421" s="31">
        <f>G421*(1-0.775945428571429)</f>
        <v>0</v>
      </c>
      <c r="AP421" s="27" t="s">
        <v>8</v>
      </c>
      <c r="AU421" s="31">
        <f>AV421+AW421</f>
        <v>0</v>
      </c>
      <c r="AV421" s="31">
        <f>F421*AN421</f>
        <v>0</v>
      </c>
      <c r="AW421" s="31">
        <f>F421*AO421</f>
        <v>0</v>
      </c>
      <c r="AX421" s="32" t="s">
        <v>1198</v>
      </c>
      <c r="AY421" s="32" t="s">
        <v>1214</v>
      </c>
      <c r="AZ421" s="26" t="s">
        <v>1215</v>
      </c>
      <c r="BB421" s="31">
        <f>AV421+AW421</f>
        <v>0</v>
      </c>
      <c r="BC421" s="31">
        <f>G421/(100-BD421)*100</f>
        <v>0</v>
      </c>
      <c r="BD421" s="31">
        <v>0</v>
      </c>
      <c r="BE421" s="31">
        <f>L421</f>
        <v>0</v>
      </c>
      <c r="BG421" s="17">
        <f>F421*AN421</f>
        <v>0</v>
      </c>
      <c r="BH421" s="17">
        <f>F421*AO421</f>
        <v>0</v>
      </c>
      <c r="BI421" s="17">
        <f>F421*G421</f>
        <v>0</v>
      </c>
    </row>
    <row r="422" spans="1:46" ht="12.75">
      <c r="A422" s="6"/>
      <c r="B422" s="13"/>
      <c r="C422" s="13" t="s">
        <v>727</v>
      </c>
      <c r="D422" s="73" t="s">
        <v>1107</v>
      </c>
      <c r="E422" s="6" t="s">
        <v>6</v>
      </c>
      <c r="F422" s="6" t="s">
        <v>6</v>
      </c>
      <c r="G422" s="151" t="s">
        <v>6</v>
      </c>
      <c r="H422" s="34">
        <f>SUM(H423:H428)</f>
        <v>0</v>
      </c>
      <c r="I422" s="34">
        <f>SUM(I423:I428)</f>
        <v>0</v>
      </c>
      <c r="J422" s="34">
        <f>SUM(J423:J428)</f>
        <v>0</v>
      </c>
      <c r="K422" s="26"/>
      <c r="L422" s="34">
        <f>SUM(L423:L428)</f>
        <v>0</v>
      </c>
      <c r="AH422" s="26"/>
      <c r="AR422" s="34">
        <f>SUM(AI423:AI428)</f>
        <v>0</v>
      </c>
      <c r="AS422" s="34">
        <f>SUM(AJ423:AJ428)</f>
        <v>0</v>
      </c>
      <c r="AT422" s="34">
        <f>SUM(AK423:AK428)</f>
        <v>0</v>
      </c>
    </row>
    <row r="423" spans="1:61" ht="25.5">
      <c r="A423" s="4" t="s">
        <v>368</v>
      </c>
      <c r="B423" s="4" t="s">
        <v>378</v>
      </c>
      <c r="C423" s="4" t="s">
        <v>728</v>
      </c>
      <c r="D423" s="71" t="s">
        <v>1108</v>
      </c>
      <c r="E423" s="4" t="s">
        <v>1128</v>
      </c>
      <c r="F423" s="17">
        <v>1</v>
      </c>
      <c r="G423" s="148">
        <v>0</v>
      </c>
      <c r="H423" s="17">
        <f aca="true" t="shared" si="508" ref="H423:H428">F423*AN423</f>
        <v>0</v>
      </c>
      <c r="I423" s="17">
        <f aca="true" t="shared" si="509" ref="I423:I428">F423*AO423</f>
        <v>0</v>
      </c>
      <c r="J423" s="17">
        <f aca="true" t="shared" si="510" ref="J423:J428">F423*G423</f>
        <v>0</v>
      </c>
      <c r="K423" s="17">
        <v>0</v>
      </c>
      <c r="L423" s="17">
        <f aca="true" t="shared" si="511" ref="L423:L428">F423*K423</f>
        <v>0</v>
      </c>
      <c r="Y423" s="31">
        <f aca="true" t="shared" si="512" ref="Y423:Y428">IF(AP423="5",BI423,0)</f>
        <v>0</v>
      </c>
      <c r="AA423" s="31">
        <f aca="true" t="shared" si="513" ref="AA423:AA428">IF(AP423="1",BG423,0)</f>
        <v>0</v>
      </c>
      <c r="AB423" s="31">
        <f aca="true" t="shared" si="514" ref="AB423:AB428">IF(AP423="1",BH423,0)</f>
        <v>0</v>
      </c>
      <c r="AC423" s="31">
        <f aca="true" t="shared" si="515" ref="AC423:AC428">IF(AP423="7",BG423,0)</f>
        <v>0</v>
      </c>
      <c r="AD423" s="31">
        <f aca="true" t="shared" si="516" ref="AD423:AD428">IF(AP423="7",BH423,0)</f>
        <v>0</v>
      </c>
      <c r="AE423" s="31">
        <f aca="true" t="shared" si="517" ref="AE423:AE428">IF(AP423="2",BG423,0)</f>
        <v>0</v>
      </c>
      <c r="AF423" s="31">
        <f aca="true" t="shared" si="518" ref="AF423:AF428">IF(AP423="2",BH423,0)</f>
        <v>0</v>
      </c>
      <c r="AG423" s="31">
        <f aca="true" t="shared" si="519" ref="AG423:AG428">IF(AP423="0",BI423,0)</f>
        <v>0</v>
      </c>
      <c r="AH423" s="26" t="s">
        <v>378</v>
      </c>
      <c r="AI423" s="17">
        <f aca="true" t="shared" si="520" ref="AI423:AI428">IF(AM423=0,J423,0)</f>
        <v>0</v>
      </c>
      <c r="AJ423" s="17">
        <f aca="true" t="shared" si="521" ref="AJ423:AJ428">IF(AM423=15,J423,0)</f>
        <v>0</v>
      </c>
      <c r="AK423" s="17">
        <f aca="true" t="shared" si="522" ref="AK423:AK428">IF(AM423=21,J423,0)</f>
        <v>0</v>
      </c>
      <c r="AM423" s="31">
        <v>21</v>
      </c>
      <c r="AN423" s="31">
        <f>G423*0.385011111111111</f>
        <v>0</v>
      </c>
      <c r="AO423" s="31">
        <f>G423*(1-0.385011111111111)</f>
        <v>0</v>
      </c>
      <c r="AP423" s="27" t="s">
        <v>11</v>
      </c>
      <c r="AU423" s="31">
        <f aca="true" t="shared" si="523" ref="AU423:AU428">AV423+AW423</f>
        <v>0</v>
      </c>
      <c r="AV423" s="31">
        <f aca="true" t="shared" si="524" ref="AV423:AV428">F423*AN423</f>
        <v>0</v>
      </c>
      <c r="AW423" s="31">
        <f aca="true" t="shared" si="525" ref="AW423:AW428">F423*AO423</f>
        <v>0</v>
      </c>
      <c r="AX423" s="32" t="s">
        <v>1199</v>
      </c>
      <c r="AY423" s="32" t="s">
        <v>1214</v>
      </c>
      <c r="AZ423" s="26" t="s">
        <v>1217</v>
      </c>
      <c r="BB423" s="31">
        <f aca="true" t="shared" si="526" ref="BB423:BB428">AV423+AW423</f>
        <v>0</v>
      </c>
      <c r="BC423" s="31">
        <f aca="true" t="shared" si="527" ref="BC423:BC428">G423/(100-BD423)*100</f>
        <v>0</v>
      </c>
      <c r="BD423" s="31">
        <v>0</v>
      </c>
      <c r="BE423" s="31">
        <f aca="true" t="shared" si="528" ref="BE423:BE428">L423</f>
        <v>0</v>
      </c>
      <c r="BG423" s="17">
        <f aca="true" t="shared" si="529" ref="BG423:BG428">F423*AN423</f>
        <v>0</v>
      </c>
      <c r="BH423" s="17">
        <f aca="true" t="shared" si="530" ref="BH423:BH428">F423*AO423</f>
        <v>0</v>
      </c>
      <c r="BI423" s="17">
        <f aca="true" t="shared" si="531" ref="BI423:BI428">F423*G423</f>
        <v>0</v>
      </c>
    </row>
    <row r="424" spans="1:61" ht="12.75">
      <c r="A424" s="4" t="s">
        <v>369</v>
      </c>
      <c r="B424" s="4"/>
      <c r="C424" s="4" t="s">
        <v>729</v>
      </c>
      <c r="D424" s="71" t="s">
        <v>1109</v>
      </c>
      <c r="E424" s="4" t="s">
        <v>1122</v>
      </c>
      <c r="F424" s="17">
        <v>20</v>
      </c>
      <c r="G424" s="148">
        <v>0</v>
      </c>
      <c r="H424" s="17">
        <f t="shared" si="508"/>
        <v>0</v>
      </c>
      <c r="I424" s="17">
        <f t="shared" si="509"/>
        <v>0</v>
      </c>
      <c r="J424" s="17">
        <f t="shared" si="510"/>
        <v>0</v>
      </c>
      <c r="K424" s="17">
        <v>0</v>
      </c>
      <c r="L424" s="17">
        <f t="shared" si="511"/>
        <v>0</v>
      </c>
      <c r="Y424" s="31">
        <f t="shared" si="512"/>
        <v>0</v>
      </c>
      <c r="AA424" s="31">
        <f t="shared" si="513"/>
        <v>0</v>
      </c>
      <c r="AB424" s="31">
        <f t="shared" si="514"/>
        <v>0</v>
      </c>
      <c r="AC424" s="31">
        <f t="shared" si="515"/>
        <v>0</v>
      </c>
      <c r="AD424" s="31">
        <f t="shared" si="516"/>
        <v>0</v>
      </c>
      <c r="AE424" s="31">
        <f t="shared" si="517"/>
        <v>0</v>
      </c>
      <c r="AF424" s="31">
        <f t="shared" si="518"/>
        <v>0</v>
      </c>
      <c r="AG424" s="31">
        <f t="shared" si="519"/>
        <v>0</v>
      </c>
      <c r="AH424" s="26"/>
      <c r="AI424" s="17">
        <f t="shared" si="520"/>
        <v>0</v>
      </c>
      <c r="AJ424" s="17">
        <f t="shared" si="521"/>
        <v>0</v>
      </c>
      <c r="AK424" s="17">
        <f t="shared" si="522"/>
        <v>0</v>
      </c>
      <c r="AM424" s="31">
        <v>21</v>
      </c>
      <c r="AN424" s="31">
        <f>G424*0</f>
        <v>0</v>
      </c>
      <c r="AO424" s="31">
        <f>G424*(1-0)</f>
        <v>0</v>
      </c>
      <c r="AP424" s="27" t="s">
        <v>11</v>
      </c>
      <c r="AU424" s="31">
        <f t="shared" si="523"/>
        <v>0</v>
      </c>
      <c r="AV424" s="31">
        <f t="shared" si="524"/>
        <v>0</v>
      </c>
      <c r="AW424" s="31">
        <f t="shared" si="525"/>
        <v>0</v>
      </c>
      <c r="AX424" s="32" t="s">
        <v>1199</v>
      </c>
      <c r="AY424" s="32" t="s">
        <v>1214</v>
      </c>
      <c r="AZ424" s="26" t="s">
        <v>1215</v>
      </c>
      <c r="BB424" s="31">
        <f t="shared" si="526"/>
        <v>0</v>
      </c>
      <c r="BC424" s="31">
        <f t="shared" si="527"/>
        <v>0</v>
      </c>
      <c r="BD424" s="31">
        <v>0</v>
      </c>
      <c r="BE424" s="31">
        <f t="shared" si="528"/>
        <v>0</v>
      </c>
      <c r="BG424" s="17">
        <f t="shared" si="529"/>
        <v>0</v>
      </c>
      <c r="BH424" s="17">
        <f t="shared" si="530"/>
        <v>0</v>
      </c>
      <c r="BI424" s="17">
        <f t="shared" si="531"/>
        <v>0</v>
      </c>
    </row>
    <row r="425" spans="1:61" ht="12.75">
      <c r="A425" s="4" t="s">
        <v>370</v>
      </c>
      <c r="B425" s="4"/>
      <c r="C425" s="4" t="s">
        <v>730</v>
      </c>
      <c r="D425" s="71" t="s">
        <v>1110</v>
      </c>
      <c r="E425" s="4" t="s">
        <v>1122</v>
      </c>
      <c r="F425" s="17">
        <v>500</v>
      </c>
      <c r="G425" s="148">
        <v>0</v>
      </c>
      <c r="H425" s="17">
        <f t="shared" si="508"/>
        <v>0</v>
      </c>
      <c r="I425" s="17">
        <f t="shared" si="509"/>
        <v>0</v>
      </c>
      <c r="J425" s="17">
        <f t="shared" si="510"/>
        <v>0</v>
      </c>
      <c r="K425" s="17">
        <v>0</v>
      </c>
      <c r="L425" s="17">
        <f t="shared" si="511"/>
        <v>0</v>
      </c>
      <c r="Y425" s="31">
        <f t="shared" si="512"/>
        <v>0</v>
      </c>
      <c r="AA425" s="31">
        <f t="shared" si="513"/>
        <v>0</v>
      </c>
      <c r="AB425" s="31">
        <f t="shared" si="514"/>
        <v>0</v>
      </c>
      <c r="AC425" s="31">
        <f t="shared" si="515"/>
        <v>0</v>
      </c>
      <c r="AD425" s="31">
        <f t="shared" si="516"/>
        <v>0</v>
      </c>
      <c r="AE425" s="31">
        <f t="shared" si="517"/>
        <v>0</v>
      </c>
      <c r="AF425" s="31">
        <f t="shared" si="518"/>
        <v>0</v>
      </c>
      <c r="AG425" s="31">
        <f t="shared" si="519"/>
        <v>0</v>
      </c>
      <c r="AH425" s="26"/>
      <c r="AI425" s="17">
        <f t="shared" si="520"/>
        <v>0</v>
      </c>
      <c r="AJ425" s="17">
        <f t="shared" si="521"/>
        <v>0</v>
      </c>
      <c r="AK425" s="17">
        <f t="shared" si="522"/>
        <v>0</v>
      </c>
      <c r="AM425" s="31">
        <v>21</v>
      </c>
      <c r="AN425" s="31">
        <f>G425*0</f>
        <v>0</v>
      </c>
      <c r="AO425" s="31">
        <f>G425*(1-0)</f>
        <v>0</v>
      </c>
      <c r="AP425" s="27" t="s">
        <v>11</v>
      </c>
      <c r="AU425" s="31">
        <f t="shared" si="523"/>
        <v>0</v>
      </c>
      <c r="AV425" s="31">
        <f t="shared" si="524"/>
        <v>0</v>
      </c>
      <c r="AW425" s="31">
        <f t="shared" si="525"/>
        <v>0</v>
      </c>
      <c r="AX425" s="32" t="s">
        <v>1199</v>
      </c>
      <c r="AY425" s="32" t="s">
        <v>1214</v>
      </c>
      <c r="AZ425" s="26" t="s">
        <v>1215</v>
      </c>
      <c r="BB425" s="31">
        <f t="shared" si="526"/>
        <v>0</v>
      </c>
      <c r="BC425" s="31">
        <f t="shared" si="527"/>
        <v>0</v>
      </c>
      <c r="BD425" s="31">
        <v>0</v>
      </c>
      <c r="BE425" s="31">
        <f t="shared" si="528"/>
        <v>0</v>
      </c>
      <c r="BG425" s="17">
        <f t="shared" si="529"/>
        <v>0</v>
      </c>
      <c r="BH425" s="17">
        <f t="shared" si="530"/>
        <v>0</v>
      </c>
      <c r="BI425" s="17">
        <f t="shared" si="531"/>
        <v>0</v>
      </c>
    </row>
    <row r="426" spans="1:61" ht="12.75">
      <c r="A426" s="4" t="s">
        <v>371</v>
      </c>
      <c r="B426" s="4"/>
      <c r="C426" s="4" t="s">
        <v>731</v>
      </c>
      <c r="D426" s="71" t="s">
        <v>1111</v>
      </c>
      <c r="E426" s="4" t="s">
        <v>1122</v>
      </c>
      <c r="F426" s="17">
        <v>20</v>
      </c>
      <c r="G426" s="148">
        <v>0</v>
      </c>
      <c r="H426" s="17">
        <f t="shared" si="508"/>
        <v>0</v>
      </c>
      <c r="I426" s="17">
        <f t="shared" si="509"/>
        <v>0</v>
      </c>
      <c r="J426" s="17">
        <f t="shared" si="510"/>
        <v>0</v>
      </c>
      <c r="K426" s="17">
        <v>0</v>
      </c>
      <c r="L426" s="17">
        <f t="shared" si="511"/>
        <v>0</v>
      </c>
      <c r="Y426" s="31">
        <f t="shared" si="512"/>
        <v>0</v>
      </c>
      <c r="AA426" s="31">
        <f t="shared" si="513"/>
        <v>0</v>
      </c>
      <c r="AB426" s="31">
        <f t="shared" si="514"/>
        <v>0</v>
      </c>
      <c r="AC426" s="31">
        <f t="shared" si="515"/>
        <v>0</v>
      </c>
      <c r="AD426" s="31">
        <f t="shared" si="516"/>
        <v>0</v>
      </c>
      <c r="AE426" s="31">
        <f t="shared" si="517"/>
        <v>0</v>
      </c>
      <c r="AF426" s="31">
        <f t="shared" si="518"/>
        <v>0</v>
      </c>
      <c r="AG426" s="31">
        <f t="shared" si="519"/>
        <v>0</v>
      </c>
      <c r="AH426" s="26"/>
      <c r="AI426" s="17">
        <f t="shared" si="520"/>
        <v>0</v>
      </c>
      <c r="AJ426" s="17">
        <f t="shared" si="521"/>
        <v>0</v>
      </c>
      <c r="AK426" s="17">
        <f t="shared" si="522"/>
        <v>0</v>
      </c>
      <c r="AM426" s="31">
        <v>21</v>
      </c>
      <c r="AN426" s="31">
        <f>G426*0</f>
        <v>0</v>
      </c>
      <c r="AO426" s="31">
        <f>G426*(1-0)</f>
        <v>0</v>
      </c>
      <c r="AP426" s="27" t="s">
        <v>11</v>
      </c>
      <c r="AU426" s="31">
        <f t="shared" si="523"/>
        <v>0</v>
      </c>
      <c r="AV426" s="31">
        <f t="shared" si="524"/>
        <v>0</v>
      </c>
      <c r="AW426" s="31">
        <f t="shared" si="525"/>
        <v>0</v>
      </c>
      <c r="AX426" s="32" t="s">
        <v>1199</v>
      </c>
      <c r="AY426" s="32" t="s">
        <v>1214</v>
      </c>
      <c r="AZ426" s="26" t="s">
        <v>1215</v>
      </c>
      <c r="BB426" s="31">
        <f t="shared" si="526"/>
        <v>0</v>
      </c>
      <c r="BC426" s="31">
        <f t="shared" si="527"/>
        <v>0</v>
      </c>
      <c r="BD426" s="31">
        <v>0</v>
      </c>
      <c r="BE426" s="31">
        <f t="shared" si="528"/>
        <v>0</v>
      </c>
      <c r="BG426" s="17">
        <f t="shared" si="529"/>
        <v>0</v>
      </c>
      <c r="BH426" s="17">
        <f t="shared" si="530"/>
        <v>0</v>
      </c>
      <c r="BI426" s="17">
        <f t="shared" si="531"/>
        <v>0</v>
      </c>
    </row>
    <row r="427" spans="1:61" ht="12.75">
      <c r="A427" s="4" t="s">
        <v>372</v>
      </c>
      <c r="B427" s="4"/>
      <c r="C427" s="4" t="s">
        <v>732</v>
      </c>
      <c r="D427" s="71" t="s">
        <v>1112</v>
      </c>
      <c r="E427" s="4" t="s">
        <v>1122</v>
      </c>
      <c r="F427" s="17">
        <v>20</v>
      </c>
      <c r="G427" s="148">
        <v>0</v>
      </c>
      <c r="H427" s="17">
        <f t="shared" si="508"/>
        <v>0</v>
      </c>
      <c r="I427" s="17">
        <f t="shared" si="509"/>
        <v>0</v>
      </c>
      <c r="J427" s="17">
        <f t="shared" si="510"/>
        <v>0</v>
      </c>
      <c r="K427" s="17">
        <v>0</v>
      </c>
      <c r="L427" s="17">
        <f t="shared" si="511"/>
        <v>0</v>
      </c>
      <c r="Y427" s="31">
        <f t="shared" si="512"/>
        <v>0</v>
      </c>
      <c r="AA427" s="31">
        <f t="shared" si="513"/>
        <v>0</v>
      </c>
      <c r="AB427" s="31">
        <f t="shared" si="514"/>
        <v>0</v>
      </c>
      <c r="AC427" s="31">
        <f t="shared" si="515"/>
        <v>0</v>
      </c>
      <c r="AD427" s="31">
        <f t="shared" si="516"/>
        <v>0</v>
      </c>
      <c r="AE427" s="31">
        <f t="shared" si="517"/>
        <v>0</v>
      </c>
      <c r="AF427" s="31">
        <f t="shared" si="518"/>
        <v>0</v>
      </c>
      <c r="AG427" s="31">
        <f t="shared" si="519"/>
        <v>0</v>
      </c>
      <c r="AH427" s="26"/>
      <c r="AI427" s="17">
        <f t="shared" si="520"/>
        <v>0</v>
      </c>
      <c r="AJ427" s="17">
        <f t="shared" si="521"/>
        <v>0</v>
      </c>
      <c r="AK427" s="17">
        <f t="shared" si="522"/>
        <v>0</v>
      </c>
      <c r="AM427" s="31">
        <v>21</v>
      </c>
      <c r="AN427" s="31">
        <f>G427*0</f>
        <v>0</v>
      </c>
      <c r="AO427" s="31">
        <f>G427*(1-0)</f>
        <v>0</v>
      </c>
      <c r="AP427" s="27" t="s">
        <v>11</v>
      </c>
      <c r="AU427" s="31">
        <f t="shared" si="523"/>
        <v>0</v>
      </c>
      <c r="AV427" s="31">
        <f t="shared" si="524"/>
        <v>0</v>
      </c>
      <c r="AW427" s="31">
        <f t="shared" si="525"/>
        <v>0</v>
      </c>
      <c r="AX427" s="32" t="s">
        <v>1199</v>
      </c>
      <c r="AY427" s="32" t="s">
        <v>1214</v>
      </c>
      <c r="AZ427" s="26" t="s">
        <v>1215</v>
      </c>
      <c r="BB427" s="31">
        <f t="shared" si="526"/>
        <v>0</v>
      </c>
      <c r="BC427" s="31">
        <f t="shared" si="527"/>
        <v>0</v>
      </c>
      <c r="BD427" s="31">
        <v>0</v>
      </c>
      <c r="BE427" s="31">
        <f t="shared" si="528"/>
        <v>0</v>
      </c>
      <c r="BG427" s="17">
        <f t="shared" si="529"/>
        <v>0</v>
      </c>
      <c r="BH427" s="17">
        <f t="shared" si="530"/>
        <v>0</v>
      </c>
      <c r="BI427" s="17">
        <f t="shared" si="531"/>
        <v>0</v>
      </c>
    </row>
    <row r="428" spans="1:61" ht="12.75">
      <c r="A428" s="7" t="s">
        <v>373</v>
      </c>
      <c r="B428" s="7"/>
      <c r="C428" s="7" t="s">
        <v>733</v>
      </c>
      <c r="D428" s="74" t="s">
        <v>1113</v>
      </c>
      <c r="E428" s="7" t="s">
        <v>1122</v>
      </c>
      <c r="F428" s="19">
        <v>40</v>
      </c>
      <c r="G428" s="152">
        <v>0</v>
      </c>
      <c r="H428" s="19">
        <f t="shared" si="508"/>
        <v>0</v>
      </c>
      <c r="I428" s="19">
        <f t="shared" si="509"/>
        <v>0</v>
      </c>
      <c r="J428" s="19">
        <f t="shared" si="510"/>
        <v>0</v>
      </c>
      <c r="K428" s="19">
        <v>0</v>
      </c>
      <c r="L428" s="19">
        <f t="shared" si="511"/>
        <v>0</v>
      </c>
      <c r="Y428" s="31">
        <f t="shared" si="512"/>
        <v>0</v>
      </c>
      <c r="AA428" s="31">
        <f t="shared" si="513"/>
        <v>0</v>
      </c>
      <c r="AB428" s="31">
        <f t="shared" si="514"/>
        <v>0</v>
      </c>
      <c r="AC428" s="31">
        <f t="shared" si="515"/>
        <v>0</v>
      </c>
      <c r="AD428" s="31">
        <f t="shared" si="516"/>
        <v>0</v>
      </c>
      <c r="AE428" s="31">
        <f t="shared" si="517"/>
        <v>0</v>
      </c>
      <c r="AF428" s="31">
        <f t="shared" si="518"/>
        <v>0</v>
      </c>
      <c r="AG428" s="31">
        <f t="shared" si="519"/>
        <v>0</v>
      </c>
      <c r="AH428" s="26"/>
      <c r="AI428" s="17">
        <f t="shared" si="520"/>
        <v>0</v>
      </c>
      <c r="AJ428" s="17">
        <f t="shared" si="521"/>
        <v>0</v>
      </c>
      <c r="AK428" s="17">
        <f t="shared" si="522"/>
        <v>0</v>
      </c>
      <c r="AM428" s="31">
        <v>21</v>
      </c>
      <c r="AN428" s="31">
        <f>G428*0</f>
        <v>0</v>
      </c>
      <c r="AO428" s="31">
        <f>G428*(1-0)</f>
        <v>0</v>
      </c>
      <c r="AP428" s="27" t="s">
        <v>11</v>
      </c>
      <c r="AU428" s="31">
        <f t="shared" si="523"/>
        <v>0</v>
      </c>
      <c r="AV428" s="31">
        <f t="shared" si="524"/>
        <v>0</v>
      </c>
      <c r="AW428" s="31">
        <f t="shared" si="525"/>
        <v>0</v>
      </c>
      <c r="AX428" s="32" t="s">
        <v>1199</v>
      </c>
      <c r="AY428" s="32" t="s">
        <v>1214</v>
      </c>
      <c r="AZ428" s="26" t="s">
        <v>1215</v>
      </c>
      <c r="BB428" s="31">
        <f t="shared" si="526"/>
        <v>0</v>
      </c>
      <c r="BC428" s="31">
        <f t="shared" si="527"/>
        <v>0</v>
      </c>
      <c r="BD428" s="31">
        <v>0</v>
      </c>
      <c r="BE428" s="31">
        <f t="shared" si="528"/>
        <v>0</v>
      </c>
      <c r="BG428" s="17">
        <f t="shared" si="529"/>
        <v>0</v>
      </c>
      <c r="BH428" s="17">
        <f t="shared" si="530"/>
        <v>0</v>
      </c>
      <c r="BI428" s="17">
        <f t="shared" si="531"/>
        <v>0</v>
      </c>
    </row>
    <row r="429" spans="1:12" ht="12.75">
      <c r="A429" s="8"/>
      <c r="B429" s="8"/>
      <c r="C429" s="8"/>
      <c r="D429" s="8"/>
      <c r="E429" s="8"/>
      <c r="F429" s="8"/>
      <c r="G429" s="8"/>
      <c r="H429" s="92" t="s">
        <v>1138</v>
      </c>
      <c r="I429" s="93"/>
      <c r="J429" s="35">
        <f>J12+J15+J18+J21+J28+J32+J34+J43+J48+J55+J58+J74+J76+J85+J88+J93+J101+J104+J107+J116+J136+J171+J184+J203+J211+J223+J229+J234+J237+J251+J268+J271+J292+J309+J311+J321+J334+J337+J342+J348+J350+J355+J361+J363+J420+J422</f>
        <v>0</v>
      </c>
      <c r="K429" s="8"/>
      <c r="L429" s="8"/>
    </row>
    <row r="430" ht="11.25" customHeight="1">
      <c r="A430" s="9" t="s">
        <v>374</v>
      </c>
    </row>
    <row r="431" spans="1:12" ht="63.75" customHeight="1">
      <c r="A431" s="87" t="s">
        <v>375</v>
      </c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</row>
  </sheetData>
  <sheetProtection password="C168" sheet="1"/>
  <mergeCells count="29">
    <mergeCell ref="H10:J10"/>
    <mergeCell ref="K10:L10"/>
    <mergeCell ref="H429:I429"/>
    <mergeCell ref="A431:L431"/>
    <mergeCell ref="A8:C9"/>
    <mergeCell ref="D8:D9"/>
    <mergeCell ref="E8:F9"/>
    <mergeCell ref="G8:G9"/>
    <mergeCell ref="H8:H9"/>
    <mergeCell ref="I8:L9"/>
    <mergeCell ref="A6:C7"/>
    <mergeCell ref="D6:D7"/>
    <mergeCell ref="E6:F7"/>
    <mergeCell ref="G6:G7"/>
    <mergeCell ref="H6:H7"/>
    <mergeCell ref="I6:L7"/>
    <mergeCell ref="A4:C5"/>
    <mergeCell ref="D4:D5"/>
    <mergeCell ref="E4:F5"/>
    <mergeCell ref="G4:G5"/>
    <mergeCell ref="H4:H5"/>
    <mergeCell ref="I4:L5"/>
    <mergeCell ref="A1:L1"/>
    <mergeCell ref="A2:C3"/>
    <mergeCell ref="D2:D3"/>
    <mergeCell ref="E2:F3"/>
    <mergeCell ref="G2:G3"/>
    <mergeCell ref="H2:H3"/>
    <mergeCell ref="I2:L3"/>
  </mergeCells>
  <printOptions/>
  <pageMargins left="0.394" right="0.394" top="0.591" bottom="0.591" header="0.5" footer="0.5"/>
  <pageSetup fitToHeight="0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pane ySplit="10" topLeftCell="A44" activePane="bottomLeft" state="frozen"/>
      <selection pane="topLeft" activeCell="A1" sqref="A1"/>
      <selection pane="bottomLeft" activeCell="B8" sqref="B8:C9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6" t="s">
        <v>1224</v>
      </c>
      <c r="B1" s="77"/>
      <c r="C1" s="77"/>
      <c r="D1" s="77"/>
      <c r="E1" s="77"/>
      <c r="F1" s="77"/>
      <c r="G1" s="77"/>
    </row>
    <row r="2" spans="1:8" ht="12.75">
      <c r="A2" s="78" t="s">
        <v>1</v>
      </c>
      <c r="B2" s="82" t="str">
        <f>'Stavební rozpočet'!D2</f>
        <v>Přístavba tech. zázemí pro JSDH města Litvínova</v>
      </c>
      <c r="C2" s="93"/>
      <c r="D2" s="85" t="s">
        <v>1132</v>
      </c>
      <c r="E2" s="85" t="str">
        <f>'Stavební rozpočet'!I2</f>
        <v>Město Litvínov, Městský úřad Litvínov</v>
      </c>
      <c r="F2" s="79"/>
      <c r="G2" s="96"/>
      <c r="H2" s="29"/>
    </row>
    <row r="3" spans="1:8" ht="12.75">
      <c r="A3" s="80"/>
      <c r="B3" s="83"/>
      <c r="C3" s="83"/>
      <c r="D3" s="81"/>
      <c r="E3" s="81"/>
      <c r="F3" s="81"/>
      <c r="G3" s="97"/>
      <c r="H3" s="29"/>
    </row>
    <row r="4" spans="1:8" ht="12.75">
      <c r="A4" s="86" t="s">
        <v>2</v>
      </c>
      <c r="B4" s="87" t="str">
        <f>'Stavební rozpočet'!D4</f>
        <v>dostavba</v>
      </c>
      <c r="C4" s="81"/>
      <c r="D4" s="87" t="s">
        <v>1133</v>
      </c>
      <c r="E4" s="87" t="str">
        <f>'Stavební rozpočet'!I4</f>
        <v>MIKRO PRAHA spol s r.o.</v>
      </c>
      <c r="F4" s="81"/>
      <c r="G4" s="97"/>
      <c r="H4" s="29"/>
    </row>
    <row r="5" spans="1:8" ht="12.75">
      <c r="A5" s="80"/>
      <c r="B5" s="81"/>
      <c r="C5" s="81"/>
      <c r="D5" s="81"/>
      <c r="E5" s="81"/>
      <c r="F5" s="81"/>
      <c r="G5" s="97"/>
      <c r="H5" s="29"/>
    </row>
    <row r="6" spans="1:8" ht="12.75">
      <c r="A6" s="86" t="s">
        <v>3</v>
      </c>
      <c r="B6" s="87" t="str">
        <f>'Stavební rozpočet'!D6</f>
        <v>objekt č.p.20, k.ú. Hamr u Litvínova</v>
      </c>
      <c r="C6" s="81"/>
      <c r="D6" s="87" t="s">
        <v>1134</v>
      </c>
      <c r="E6" s="87" t="str">
        <f>'Stavební rozpočet'!I6</f>
        <v>0</v>
      </c>
      <c r="F6" s="81"/>
      <c r="G6" s="97"/>
      <c r="H6" s="29"/>
    </row>
    <row r="7" spans="1:8" ht="12.75">
      <c r="A7" s="80"/>
      <c r="B7" s="81"/>
      <c r="C7" s="81"/>
      <c r="D7" s="81"/>
      <c r="E7" s="81"/>
      <c r="F7" s="81"/>
      <c r="G7" s="97"/>
      <c r="H7" s="29"/>
    </row>
    <row r="8" spans="1:8" ht="12.75">
      <c r="A8" s="86" t="s">
        <v>1135</v>
      </c>
      <c r="B8" s="158" t="str">
        <f>'Stavební rozpočet'!I8</f>
        <v>jav</v>
      </c>
      <c r="C8" s="81"/>
      <c r="D8" s="88" t="s">
        <v>1117</v>
      </c>
      <c r="E8" s="87" t="str">
        <f>'Stavební rozpočet'!G8</f>
        <v>0</v>
      </c>
      <c r="F8" s="81"/>
      <c r="G8" s="97"/>
      <c r="H8" s="29"/>
    </row>
    <row r="9" spans="1:8" ht="12.75">
      <c r="A9" s="94"/>
      <c r="B9" s="95"/>
      <c r="C9" s="95"/>
      <c r="D9" s="95"/>
      <c r="E9" s="95"/>
      <c r="F9" s="95"/>
      <c r="G9" s="98"/>
      <c r="H9" s="29"/>
    </row>
    <row r="10" spans="1:8" ht="12.75">
      <c r="A10" s="36" t="s">
        <v>376</v>
      </c>
      <c r="B10" s="38" t="s">
        <v>379</v>
      </c>
      <c r="C10" s="39" t="s">
        <v>737</v>
      </c>
      <c r="D10" s="40" t="s">
        <v>1225</v>
      </c>
      <c r="E10" s="40" t="s">
        <v>1226</v>
      </c>
      <c r="F10" s="40" t="s">
        <v>1227</v>
      </c>
      <c r="G10" s="42" t="s">
        <v>1228</v>
      </c>
      <c r="H10" s="30"/>
    </row>
    <row r="11" spans="1:9" ht="12.75">
      <c r="A11" s="37"/>
      <c r="B11" s="37" t="s">
        <v>18</v>
      </c>
      <c r="C11" s="37" t="s">
        <v>739</v>
      </c>
      <c r="D11" s="43">
        <f>'Stavební rozpočet'!H12</f>
        <v>0</v>
      </c>
      <c r="E11" s="43">
        <f>'Stavební rozpočet'!I12</f>
        <v>0</v>
      </c>
      <c r="F11" s="43">
        <f>'Stavební rozpočet'!J12</f>
        <v>0</v>
      </c>
      <c r="G11" s="43">
        <f>'Stavební rozpočet'!L12</f>
        <v>0.24</v>
      </c>
      <c r="H11" s="31" t="s">
        <v>1229</v>
      </c>
      <c r="I11" s="31">
        <f aca="true" t="shared" si="0" ref="I11:I56">IF(H11="F",0,F11)</f>
        <v>0</v>
      </c>
    </row>
    <row r="12" spans="1:9" ht="12.75">
      <c r="A12" s="15"/>
      <c r="B12" s="15" t="s">
        <v>19</v>
      </c>
      <c r="C12" s="15" t="s">
        <v>742</v>
      </c>
      <c r="D12" s="31">
        <f>'Stavební rozpočet'!H15</f>
        <v>0</v>
      </c>
      <c r="E12" s="31">
        <f>'Stavební rozpočet'!I15</f>
        <v>0</v>
      </c>
      <c r="F12" s="31">
        <f>'Stavební rozpočet'!J15</f>
        <v>0</v>
      </c>
      <c r="G12" s="31">
        <f>'Stavební rozpočet'!L15</f>
        <v>0</v>
      </c>
      <c r="H12" s="31" t="s">
        <v>1229</v>
      </c>
      <c r="I12" s="31">
        <f t="shared" si="0"/>
        <v>0</v>
      </c>
    </row>
    <row r="13" spans="1:9" ht="12.75">
      <c r="A13" s="15"/>
      <c r="B13" s="15" t="s">
        <v>21</v>
      </c>
      <c r="C13" s="15" t="s">
        <v>744</v>
      </c>
      <c r="D13" s="31">
        <f>'Stavební rozpočet'!H18</f>
        <v>0</v>
      </c>
      <c r="E13" s="31">
        <f>'Stavební rozpočet'!I18</f>
        <v>0</v>
      </c>
      <c r="F13" s="31">
        <f>'Stavební rozpočet'!J18</f>
        <v>0</v>
      </c>
      <c r="G13" s="31">
        <f>'Stavební rozpočet'!L18</f>
        <v>0.24644000000000002</v>
      </c>
      <c r="H13" s="31" t="s">
        <v>1229</v>
      </c>
      <c r="I13" s="31">
        <f t="shared" si="0"/>
        <v>0</v>
      </c>
    </row>
    <row r="14" spans="1:9" ht="12.75">
      <c r="A14" s="15"/>
      <c r="B14" s="15" t="s">
        <v>22</v>
      </c>
      <c r="C14" s="15" t="s">
        <v>747</v>
      </c>
      <c r="D14" s="31">
        <f>'Stavební rozpočet'!H21</f>
        <v>0</v>
      </c>
      <c r="E14" s="31">
        <f>'Stavební rozpočet'!I21</f>
        <v>0</v>
      </c>
      <c r="F14" s="31">
        <f>'Stavební rozpočet'!J21</f>
        <v>0</v>
      </c>
      <c r="G14" s="31">
        <f>'Stavební rozpočet'!L21</f>
        <v>0</v>
      </c>
      <c r="H14" s="31" t="s">
        <v>1229</v>
      </c>
      <c r="I14" s="31">
        <f t="shared" si="0"/>
        <v>0</v>
      </c>
    </row>
    <row r="15" spans="1:9" ht="12.75">
      <c r="A15" s="15"/>
      <c r="B15" s="15" t="s">
        <v>23</v>
      </c>
      <c r="C15" s="15" t="s">
        <v>751</v>
      </c>
      <c r="D15" s="31">
        <f>'Stavební rozpočet'!H28</f>
        <v>0</v>
      </c>
      <c r="E15" s="31">
        <f>'Stavební rozpočet'!I28</f>
        <v>0</v>
      </c>
      <c r="F15" s="31">
        <f>'Stavební rozpočet'!J28</f>
        <v>0</v>
      </c>
      <c r="G15" s="31">
        <f>'Stavební rozpočet'!L28</f>
        <v>51.436</v>
      </c>
      <c r="H15" s="31" t="s">
        <v>1229</v>
      </c>
      <c r="I15" s="31">
        <f t="shared" si="0"/>
        <v>0</v>
      </c>
    </row>
    <row r="16" spans="1:9" ht="12.75">
      <c r="A16" s="15"/>
      <c r="B16" s="15" t="s">
        <v>24</v>
      </c>
      <c r="C16" s="15" t="s">
        <v>755</v>
      </c>
      <c r="D16" s="31">
        <f>'Stavební rozpočet'!H32</f>
        <v>0</v>
      </c>
      <c r="E16" s="31">
        <f>'Stavební rozpočet'!I32</f>
        <v>0</v>
      </c>
      <c r="F16" s="31">
        <f>'Stavební rozpočet'!J32</f>
        <v>0</v>
      </c>
      <c r="G16" s="31">
        <f>'Stavební rozpočet'!L32</f>
        <v>0</v>
      </c>
      <c r="H16" s="31" t="s">
        <v>1229</v>
      </c>
      <c r="I16" s="31">
        <f t="shared" si="0"/>
        <v>0</v>
      </c>
    </row>
    <row r="17" spans="1:9" ht="12.75">
      <c r="A17" s="15"/>
      <c r="B17" s="15" t="s">
        <v>33</v>
      </c>
      <c r="C17" s="15" t="s">
        <v>757</v>
      </c>
      <c r="D17" s="31">
        <f>'Stavební rozpočet'!H34</f>
        <v>0</v>
      </c>
      <c r="E17" s="31">
        <f>'Stavební rozpočet'!I34</f>
        <v>0</v>
      </c>
      <c r="F17" s="31">
        <f>'Stavební rozpočet'!J34</f>
        <v>0</v>
      </c>
      <c r="G17" s="31">
        <f>'Stavební rozpočet'!L34</f>
        <v>390.41798272</v>
      </c>
      <c r="H17" s="31" t="s">
        <v>1229</v>
      </c>
      <c r="I17" s="31">
        <f t="shared" si="0"/>
        <v>0</v>
      </c>
    </row>
    <row r="18" spans="1:9" ht="12.75">
      <c r="A18" s="15"/>
      <c r="B18" s="15" t="s">
        <v>37</v>
      </c>
      <c r="C18" s="15" t="s">
        <v>766</v>
      </c>
      <c r="D18" s="31">
        <f>'Stavební rozpočet'!H43</f>
        <v>0</v>
      </c>
      <c r="E18" s="31">
        <f>'Stavební rozpočet'!I43</f>
        <v>0</v>
      </c>
      <c r="F18" s="31">
        <f>'Stavební rozpočet'!J43</f>
        <v>0</v>
      </c>
      <c r="G18" s="31">
        <f>'Stavební rozpočet'!L43</f>
        <v>129.65920565</v>
      </c>
      <c r="H18" s="31" t="s">
        <v>1229</v>
      </c>
      <c r="I18" s="31">
        <f t="shared" si="0"/>
        <v>0</v>
      </c>
    </row>
    <row r="19" spans="1:9" ht="12.75">
      <c r="A19" s="15"/>
      <c r="B19" s="15" t="s">
        <v>39</v>
      </c>
      <c r="C19" s="15" t="s">
        <v>771</v>
      </c>
      <c r="D19" s="31">
        <f>'Stavební rozpočet'!H48</f>
        <v>0</v>
      </c>
      <c r="E19" s="31">
        <f>'Stavební rozpočet'!I48</f>
        <v>0</v>
      </c>
      <c r="F19" s="31">
        <f>'Stavební rozpočet'!J48</f>
        <v>0</v>
      </c>
      <c r="G19" s="31">
        <f>'Stavební rozpočet'!L48</f>
        <v>5.838741760000001</v>
      </c>
      <c r="H19" s="31" t="s">
        <v>1229</v>
      </c>
      <c r="I19" s="31">
        <f t="shared" si="0"/>
        <v>0</v>
      </c>
    </row>
    <row r="20" spans="1:9" ht="12.75">
      <c r="A20" s="15"/>
      <c r="B20" s="15" t="s">
        <v>40</v>
      </c>
      <c r="C20" s="15" t="s">
        <v>778</v>
      </c>
      <c r="D20" s="31">
        <f>'Stavební rozpočet'!H55</f>
        <v>0</v>
      </c>
      <c r="E20" s="31">
        <f>'Stavební rozpočet'!I55</f>
        <v>0</v>
      </c>
      <c r="F20" s="31">
        <f>'Stavební rozpočet'!J55</f>
        <v>0</v>
      </c>
      <c r="G20" s="31">
        <f>'Stavební rozpočet'!L55</f>
        <v>7.0010712</v>
      </c>
      <c r="H20" s="31" t="s">
        <v>1229</v>
      </c>
      <c r="I20" s="31">
        <f t="shared" si="0"/>
        <v>0</v>
      </c>
    </row>
    <row r="21" spans="1:9" ht="12.75">
      <c r="A21" s="15"/>
      <c r="B21" s="15" t="s">
        <v>47</v>
      </c>
      <c r="C21" s="15" t="s">
        <v>781</v>
      </c>
      <c r="D21" s="31">
        <f>'Stavební rozpočet'!H58</f>
        <v>0</v>
      </c>
      <c r="E21" s="31">
        <f>'Stavební rozpočet'!I58</f>
        <v>0</v>
      </c>
      <c r="F21" s="31">
        <f>'Stavební rozpočet'!J58</f>
        <v>0</v>
      </c>
      <c r="G21" s="31">
        <f>'Stavební rozpočet'!L58</f>
        <v>103.3153878435</v>
      </c>
      <c r="H21" s="31" t="s">
        <v>1229</v>
      </c>
      <c r="I21" s="31">
        <f t="shared" si="0"/>
        <v>0</v>
      </c>
    </row>
    <row r="22" spans="1:9" ht="12.75">
      <c r="A22" s="15"/>
      <c r="B22" s="15" t="s">
        <v>64</v>
      </c>
      <c r="C22" s="15" t="s">
        <v>795</v>
      </c>
      <c r="D22" s="31">
        <f>'Stavební rozpočet'!H74</f>
        <v>0</v>
      </c>
      <c r="E22" s="31">
        <f>'Stavební rozpočet'!I74</f>
        <v>0</v>
      </c>
      <c r="F22" s="31">
        <f>'Stavební rozpočet'!J74</f>
        <v>0</v>
      </c>
      <c r="G22" s="31">
        <f>'Stavební rozpočet'!L74</f>
        <v>298.456</v>
      </c>
      <c r="H22" s="31" t="s">
        <v>1229</v>
      </c>
      <c r="I22" s="31">
        <f t="shared" si="0"/>
        <v>0</v>
      </c>
    </row>
    <row r="23" spans="1:9" ht="12.75">
      <c r="A23" s="15"/>
      <c r="B23" s="15" t="s">
        <v>67</v>
      </c>
      <c r="C23" s="15" t="s">
        <v>797</v>
      </c>
      <c r="D23" s="31">
        <f>'Stavební rozpočet'!H76</f>
        <v>0</v>
      </c>
      <c r="E23" s="31">
        <f>'Stavební rozpočet'!I76</f>
        <v>0</v>
      </c>
      <c r="F23" s="31">
        <f>'Stavební rozpočet'!J76</f>
        <v>0</v>
      </c>
      <c r="G23" s="31">
        <f>'Stavební rozpočet'!L76</f>
        <v>37.722492700000004</v>
      </c>
      <c r="H23" s="31" t="s">
        <v>1229</v>
      </c>
      <c r="I23" s="31">
        <f t="shared" si="0"/>
        <v>0</v>
      </c>
    </row>
    <row r="24" spans="1:9" ht="12.75">
      <c r="A24" s="15"/>
      <c r="B24" s="15" t="s">
        <v>68</v>
      </c>
      <c r="C24" s="15" t="s">
        <v>805</v>
      </c>
      <c r="D24" s="31">
        <f>'Stavební rozpočet'!H85</f>
        <v>0</v>
      </c>
      <c r="E24" s="31">
        <f>'Stavební rozpočet'!I85</f>
        <v>0</v>
      </c>
      <c r="F24" s="31">
        <f>'Stavební rozpočet'!J85</f>
        <v>0</v>
      </c>
      <c r="G24" s="31">
        <f>'Stavební rozpočet'!L85</f>
        <v>8.0689107</v>
      </c>
      <c r="H24" s="31" t="s">
        <v>1229</v>
      </c>
      <c r="I24" s="31">
        <f t="shared" si="0"/>
        <v>0</v>
      </c>
    </row>
    <row r="25" spans="1:9" ht="12.75">
      <c r="A25" s="15"/>
      <c r="B25" s="15" t="s">
        <v>69</v>
      </c>
      <c r="C25" s="15" t="s">
        <v>808</v>
      </c>
      <c r="D25" s="31">
        <f>'Stavební rozpočet'!H88</f>
        <v>0</v>
      </c>
      <c r="E25" s="31">
        <f>'Stavební rozpočet'!I88</f>
        <v>0</v>
      </c>
      <c r="F25" s="31">
        <f>'Stavební rozpočet'!J88</f>
        <v>0</v>
      </c>
      <c r="G25" s="31">
        <f>'Stavební rozpočet'!L88</f>
        <v>482.38534125</v>
      </c>
      <c r="H25" s="31" t="s">
        <v>1229</v>
      </c>
      <c r="I25" s="31">
        <f t="shared" si="0"/>
        <v>0</v>
      </c>
    </row>
    <row r="26" spans="1:9" ht="12.75">
      <c r="A26" s="15"/>
      <c r="B26" s="15" t="s">
        <v>70</v>
      </c>
      <c r="C26" s="15" t="s">
        <v>813</v>
      </c>
      <c r="D26" s="31">
        <f>'Stavební rozpočet'!H93</f>
        <v>0</v>
      </c>
      <c r="E26" s="31">
        <f>'Stavební rozpočet'!I93</f>
        <v>0</v>
      </c>
      <c r="F26" s="31">
        <f>'Stavební rozpočet'!J93</f>
        <v>0</v>
      </c>
      <c r="G26" s="31">
        <f>'Stavební rozpočet'!L93</f>
        <v>3.25705</v>
      </c>
      <c r="H26" s="31" t="s">
        <v>1229</v>
      </c>
      <c r="I26" s="31">
        <f t="shared" si="0"/>
        <v>0</v>
      </c>
    </row>
    <row r="27" spans="1:9" ht="12.75">
      <c r="A27" s="15"/>
      <c r="B27" s="15" t="s">
        <v>447</v>
      </c>
      <c r="C27" s="15" t="s">
        <v>821</v>
      </c>
      <c r="D27" s="31">
        <f>'Stavební rozpočet'!H101</f>
        <v>0</v>
      </c>
      <c r="E27" s="31">
        <f>'Stavební rozpočet'!I101</f>
        <v>0</v>
      </c>
      <c r="F27" s="31">
        <f>'Stavební rozpočet'!J101</f>
        <v>0</v>
      </c>
      <c r="G27" s="31">
        <f>'Stavební rozpočet'!L101</f>
        <v>0.9011425000000001</v>
      </c>
      <c r="H27" s="31" t="s">
        <v>1229</v>
      </c>
      <c r="I27" s="31">
        <f t="shared" si="0"/>
        <v>0</v>
      </c>
    </row>
    <row r="28" spans="1:9" ht="12.75">
      <c r="A28" s="15"/>
      <c r="B28" s="15" t="s">
        <v>450</v>
      </c>
      <c r="C28" s="15" t="s">
        <v>824</v>
      </c>
      <c r="D28" s="31">
        <f>'Stavební rozpočet'!H104</f>
        <v>0</v>
      </c>
      <c r="E28" s="31">
        <f>'Stavební rozpočet'!I104</f>
        <v>0</v>
      </c>
      <c r="F28" s="31">
        <f>'Stavební rozpočet'!J104</f>
        <v>0</v>
      </c>
      <c r="G28" s="31">
        <f>'Stavební rozpočet'!L104</f>
        <v>0.101</v>
      </c>
      <c r="H28" s="31" t="s">
        <v>1229</v>
      </c>
      <c r="I28" s="31">
        <f t="shared" si="0"/>
        <v>0</v>
      </c>
    </row>
    <row r="29" spans="1:9" ht="12.75">
      <c r="A29" s="15"/>
      <c r="B29" s="15" t="s">
        <v>453</v>
      </c>
      <c r="C29" s="15" t="s">
        <v>827</v>
      </c>
      <c r="D29" s="31">
        <f>'Stavební rozpočet'!H107</f>
        <v>0</v>
      </c>
      <c r="E29" s="31">
        <f>'Stavební rozpočet'!I107</f>
        <v>0</v>
      </c>
      <c r="F29" s="31">
        <f>'Stavební rozpočet'!J107</f>
        <v>0</v>
      </c>
      <c r="G29" s="31">
        <f>'Stavební rozpočet'!L107</f>
        <v>8.000317</v>
      </c>
      <c r="H29" s="31" t="s">
        <v>1229</v>
      </c>
      <c r="I29" s="31">
        <f t="shared" si="0"/>
        <v>0</v>
      </c>
    </row>
    <row r="30" spans="1:9" ht="12.75">
      <c r="A30" s="15"/>
      <c r="B30" s="15" t="s">
        <v>462</v>
      </c>
      <c r="C30" s="15" t="s">
        <v>836</v>
      </c>
      <c r="D30" s="31">
        <f>'Stavební rozpočet'!H116</f>
        <v>0</v>
      </c>
      <c r="E30" s="31">
        <f>'Stavební rozpočet'!I116</f>
        <v>0</v>
      </c>
      <c r="F30" s="31">
        <f>'Stavební rozpočet'!J116</f>
        <v>0</v>
      </c>
      <c r="G30" s="31">
        <f>'Stavební rozpočet'!L116</f>
        <v>0.86869</v>
      </c>
      <c r="H30" s="31" t="s">
        <v>1229</v>
      </c>
      <c r="I30" s="31">
        <f t="shared" si="0"/>
        <v>0</v>
      </c>
    </row>
    <row r="31" spans="1:9" ht="12.75">
      <c r="A31" s="15"/>
      <c r="B31" s="15" t="s">
        <v>482</v>
      </c>
      <c r="C31" s="15" t="s">
        <v>856</v>
      </c>
      <c r="D31" s="31">
        <f>'Stavební rozpočet'!H136</f>
        <v>0</v>
      </c>
      <c r="E31" s="31">
        <f>'Stavební rozpočet'!I136</f>
        <v>0</v>
      </c>
      <c r="F31" s="31">
        <f>'Stavební rozpočet'!J136</f>
        <v>0</v>
      </c>
      <c r="G31" s="31">
        <f>'Stavební rozpočet'!L136</f>
        <v>8.64301</v>
      </c>
      <c r="H31" s="31" t="s">
        <v>1229</v>
      </c>
      <c r="I31" s="31">
        <f t="shared" si="0"/>
        <v>0</v>
      </c>
    </row>
    <row r="32" spans="1:9" ht="12.75">
      <c r="A32" s="15"/>
      <c r="B32" s="15" t="s">
        <v>517</v>
      </c>
      <c r="C32" s="15" t="s">
        <v>891</v>
      </c>
      <c r="D32" s="31">
        <f>'Stavební rozpočet'!H171</f>
        <v>0</v>
      </c>
      <c r="E32" s="31">
        <f>'Stavební rozpočet'!I171</f>
        <v>0</v>
      </c>
      <c r="F32" s="31">
        <f>'Stavební rozpočet'!J171</f>
        <v>0</v>
      </c>
      <c r="G32" s="31">
        <f>'Stavební rozpočet'!L171</f>
        <v>0.23186</v>
      </c>
      <c r="H32" s="31" t="s">
        <v>1229</v>
      </c>
      <c r="I32" s="31">
        <f t="shared" si="0"/>
        <v>0</v>
      </c>
    </row>
    <row r="33" spans="1:9" ht="12.75">
      <c r="A33" s="15"/>
      <c r="B33" s="15" t="s">
        <v>530</v>
      </c>
      <c r="C33" s="15" t="s">
        <v>904</v>
      </c>
      <c r="D33" s="31">
        <f>'Stavební rozpočet'!H184</f>
        <v>0</v>
      </c>
      <c r="E33" s="31">
        <f>'Stavební rozpočet'!I184</f>
        <v>0</v>
      </c>
      <c r="F33" s="31">
        <f>'Stavební rozpočet'!J184</f>
        <v>0</v>
      </c>
      <c r="G33" s="31">
        <f>'Stavební rozpočet'!L184</f>
        <v>0.00315</v>
      </c>
      <c r="H33" s="31" t="s">
        <v>1229</v>
      </c>
      <c r="I33" s="31">
        <f t="shared" si="0"/>
        <v>0</v>
      </c>
    </row>
    <row r="34" spans="1:9" ht="12.75">
      <c r="A34" s="15"/>
      <c r="B34" s="15" t="s">
        <v>549</v>
      </c>
      <c r="C34" s="15" t="s">
        <v>922</v>
      </c>
      <c r="D34" s="31">
        <f>'Stavební rozpočet'!H203</f>
        <v>0</v>
      </c>
      <c r="E34" s="31">
        <f>'Stavební rozpočet'!I203</f>
        <v>0</v>
      </c>
      <c r="F34" s="31">
        <f>'Stavební rozpočet'!J203</f>
        <v>0</v>
      </c>
      <c r="G34" s="31">
        <f>'Stavební rozpočet'!L203</f>
        <v>9.270774999999999</v>
      </c>
      <c r="H34" s="31" t="s">
        <v>1229</v>
      </c>
      <c r="I34" s="31">
        <f t="shared" si="0"/>
        <v>0</v>
      </c>
    </row>
    <row r="35" spans="1:9" ht="12.75">
      <c r="A35" s="15"/>
      <c r="B35" s="15" t="s">
        <v>556</v>
      </c>
      <c r="C35" s="15" t="s">
        <v>930</v>
      </c>
      <c r="D35" s="31">
        <f>'Stavební rozpočet'!H211</f>
        <v>0</v>
      </c>
      <c r="E35" s="31">
        <f>'Stavební rozpočet'!I211</f>
        <v>0</v>
      </c>
      <c r="F35" s="31">
        <f>'Stavební rozpočet'!J211</f>
        <v>0</v>
      </c>
      <c r="G35" s="31">
        <f>'Stavební rozpočet'!L211</f>
        <v>0.7795000000000001</v>
      </c>
      <c r="H35" s="31" t="s">
        <v>1229</v>
      </c>
      <c r="I35" s="31">
        <f t="shared" si="0"/>
        <v>0</v>
      </c>
    </row>
    <row r="36" spans="1:9" ht="12.75">
      <c r="A36" s="15"/>
      <c r="B36" s="15" t="s">
        <v>568</v>
      </c>
      <c r="C36" s="15" t="s">
        <v>942</v>
      </c>
      <c r="D36" s="31">
        <f>'Stavební rozpočet'!H223</f>
        <v>0</v>
      </c>
      <c r="E36" s="31">
        <f>'Stavební rozpočet'!I223</f>
        <v>0</v>
      </c>
      <c r="F36" s="31">
        <f>'Stavební rozpočet'!J223</f>
        <v>0</v>
      </c>
      <c r="G36" s="31">
        <f>'Stavební rozpočet'!L223</f>
        <v>1.21004</v>
      </c>
      <c r="H36" s="31" t="s">
        <v>1229</v>
      </c>
      <c r="I36" s="31">
        <f t="shared" si="0"/>
        <v>0</v>
      </c>
    </row>
    <row r="37" spans="1:9" ht="12.75">
      <c r="A37" s="15"/>
      <c r="B37" s="15" t="s">
        <v>574</v>
      </c>
      <c r="C37" s="15" t="s">
        <v>948</v>
      </c>
      <c r="D37" s="31">
        <f>'Stavební rozpočet'!H229</f>
        <v>0</v>
      </c>
      <c r="E37" s="31">
        <f>'Stavební rozpočet'!I229</f>
        <v>0</v>
      </c>
      <c r="F37" s="31">
        <f>'Stavební rozpočet'!J229</f>
        <v>0</v>
      </c>
      <c r="G37" s="31">
        <f>'Stavební rozpočet'!L229</f>
        <v>0.573792</v>
      </c>
      <c r="H37" s="31" t="s">
        <v>1229</v>
      </c>
      <c r="I37" s="31">
        <f t="shared" si="0"/>
        <v>0</v>
      </c>
    </row>
    <row r="38" spans="1:9" ht="12.75">
      <c r="A38" s="15"/>
      <c r="B38" s="15" t="s">
        <v>579</v>
      </c>
      <c r="C38" s="15" t="s">
        <v>953</v>
      </c>
      <c r="D38" s="31">
        <f>'Stavební rozpočet'!H234</f>
        <v>0</v>
      </c>
      <c r="E38" s="31">
        <f>'Stavební rozpočet'!I234</f>
        <v>0</v>
      </c>
      <c r="F38" s="31">
        <f>'Stavební rozpočet'!J234</f>
        <v>0</v>
      </c>
      <c r="G38" s="31">
        <f>'Stavební rozpočet'!L234</f>
        <v>0.42</v>
      </c>
      <c r="H38" s="31" t="s">
        <v>1229</v>
      </c>
      <c r="I38" s="31">
        <f t="shared" si="0"/>
        <v>0</v>
      </c>
    </row>
    <row r="39" spans="1:9" ht="12.75">
      <c r="A39" s="15"/>
      <c r="B39" s="15" t="s">
        <v>582</v>
      </c>
      <c r="C39" s="15" t="s">
        <v>956</v>
      </c>
      <c r="D39" s="31">
        <f>'Stavební rozpočet'!H237</f>
        <v>0</v>
      </c>
      <c r="E39" s="31">
        <f>'Stavební rozpočet'!I237</f>
        <v>0</v>
      </c>
      <c r="F39" s="31">
        <f>'Stavební rozpočet'!J237</f>
        <v>0</v>
      </c>
      <c r="G39" s="31">
        <f>'Stavební rozpočet'!L237</f>
        <v>4.923455</v>
      </c>
      <c r="H39" s="31" t="s">
        <v>1229</v>
      </c>
      <c r="I39" s="31">
        <f t="shared" si="0"/>
        <v>0</v>
      </c>
    </row>
    <row r="40" spans="1:9" ht="12.75">
      <c r="A40" s="15"/>
      <c r="B40" s="15" t="s">
        <v>596</v>
      </c>
      <c r="C40" s="15" t="s">
        <v>970</v>
      </c>
      <c r="D40" s="31">
        <f>'Stavební rozpočet'!H251</f>
        <v>0</v>
      </c>
      <c r="E40" s="31">
        <f>'Stavební rozpočet'!I251</f>
        <v>0</v>
      </c>
      <c r="F40" s="31">
        <f>'Stavební rozpočet'!J251</f>
        <v>0</v>
      </c>
      <c r="G40" s="31">
        <f>'Stavební rozpočet'!L251</f>
        <v>0.66212</v>
      </c>
      <c r="H40" s="31" t="s">
        <v>1229</v>
      </c>
      <c r="I40" s="31">
        <f t="shared" si="0"/>
        <v>0</v>
      </c>
    </row>
    <row r="41" spans="1:9" ht="12.75">
      <c r="A41" s="15"/>
      <c r="B41" s="15" t="s">
        <v>608</v>
      </c>
      <c r="C41" s="15" t="s">
        <v>983</v>
      </c>
      <c r="D41" s="31">
        <f>'Stavební rozpočet'!H268</f>
        <v>0</v>
      </c>
      <c r="E41" s="31">
        <f>'Stavební rozpočet'!I268</f>
        <v>0</v>
      </c>
      <c r="F41" s="31">
        <f>'Stavební rozpočet'!J268</f>
        <v>0</v>
      </c>
      <c r="G41" s="31">
        <f>'Stavební rozpočet'!L268</f>
        <v>0.0016799999999999999</v>
      </c>
      <c r="H41" s="31" t="s">
        <v>1229</v>
      </c>
      <c r="I41" s="31">
        <f t="shared" si="0"/>
        <v>0</v>
      </c>
    </row>
    <row r="42" spans="1:9" ht="12.75">
      <c r="A42" s="15"/>
      <c r="B42" s="15" t="s">
        <v>610</v>
      </c>
      <c r="C42" s="15" t="s">
        <v>986</v>
      </c>
      <c r="D42" s="31">
        <f>'Stavební rozpočet'!H271</f>
        <v>0</v>
      </c>
      <c r="E42" s="31">
        <f>'Stavební rozpočet'!I271</f>
        <v>0</v>
      </c>
      <c r="F42" s="31">
        <f>'Stavební rozpočet'!J271</f>
        <v>0</v>
      </c>
      <c r="G42" s="31">
        <f>'Stavební rozpočet'!L271</f>
        <v>7.518519999999999</v>
      </c>
      <c r="H42" s="31" t="s">
        <v>1229</v>
      </c>
      <c r="I42" s="31">
        <f t="shared" si="0"/>
        <v>0</v>
      </c>
    </row>
    <row r="43" spans="1:9" ht="12.75">
      <c r="A43" s="15"/>
      <c r="B43" s="15" t="s">
        <v>622</v>
      </c>
      <c r="C43" s="15" t="s">
        <v>998</v>
      </c>
      <c r="D43" s="31">
        <f>'Stavební rozpočet'!H292</f>
        <v>0</v>
      </c>
      <c r="E43" s="31">
        <f>'Stavební rozpočet'!I292</f>
        <v>0</v>
      </c>
      <c r="F43" s="31">
        <f>'Stavební rozpočet'!J292</f>
        <v>0</v>
      </c>
      <c r="G43" s="31">
        <f>'Stavební rozpočet'!L292</f>
        <v>9.441409</v>
      </c>
      <c r="H43" s="31" t="s">
        <v>1229</v>
      </c>
      <c r="I43" s="31">
        <f t="shared" si="0"/>
        <v>0</v>
      </c>
    </row>
    <row r="44" spans="1:9" ht="12.75">
      <c r="A44" s="15"/>
      <c r="B44" s="15" t="s">
        <v>631</v>
      </c>
      <c r="C44" s="15" t="s">
        <v>1007</v>
      </c>
      <c r="D44" s="31">
        <f>'Stavební rozpočet'!H309</f>
        <v>0</v>
      </c>
      <c r="E44" s="31">
        <f>'Stavební rozpočet'!I309</f>
        <v>0</v>
      </c>
      <c r="F44" s="31">
        <f>'Stavební rozpočet'!J309</f>
        <v>0</v>
      </c>
      <c r="G44" s="31">
        <f>'Stavební rozpočet'!L309</f>
        <v>0.0019000000000000002</v>
      </c>
      <c r="H44" s="31" t="s">
        <v>1229</v>
      </c>
      <c r="I44" s="31">
        <f t="shared" si="0"/>
        <v>0</v>
      </c>
    </row>
    <row r="45" spans="1:9" ht="12.75">
      <c r="A45" s="15"/>
      <c r="B45" s="15" t="s">
        <v>633</v>
      </c>
      <c r="C45" s="15" t="s">
        <v>1009</v>
      </c>
      <c r="D45" s="31">
        <f>'Stavební rozpočet'!H311</f>
        <v>0</v>
      </c>
      <c r="E45" s="31">
        <f>'Stavební rozpočet'!I311</f>
        <v>0</v>
      </c>
      <c r="F45" s="31">
        <f>'Stavební rozpočet'!J311</f>
        <v>0</v>
      </c>
      <c r="G45" s="31">
        <f>'Stavební rozpočet'!L311</f>
        <v>0.6576000000000001</v>
      </c>
      <c r="H45" s="31" t="s">
        <v>1229</v>
      </c>
      <c r="I45" s="31">
        <f t="shared" si="0"/>
        <v>0</v>
      </c>
    </row>
    <row r="46" spans="1:9" ht="12.75">
      <c r="A46" s="15"/>
      <c r="B46" s="15" t="s">
        <v>639</v>
      </c>
      <c r="C46" s="15" t="s">
        <v>1015</v>
      </c>
      <c r="D46" s="31">
        <f>'Stavební rozpočet'!H321</f>
        <v>0</v>
      </c>
      <c r="E46" s="31">
        <f>'Stavební rozpočet'!I321</f>
        <v>0</v>
      </c>
      <c r="F46" s="31">
        <f>'Stavební rozpočet'!J321</f>
        <v>0</v>
      </c>
      <c r="G46" s="31">
        <f>'Stavební rozpočet'!L321</f>
        <v>0</v>
      </c>
      <c r="H46" s="31" t="s">
        <v>1229</v>
      </c>
      <c r="I46" s="31">
        <f t="shared" si="0"/>
        <v>0</v>
      </c>
    </row>
    <row r="47" spans="1:9" ht="12.75">
      <c r="A47" s="15"/>
      <c r="B47" s="15" t="s">
        <v>95</v>
      </c>
      <c r="C47" s="15" t="s">
        <v>1028</v>
      </c>
      <c r="D47" s="31">
        <f>'Stavební rozpočet'!H334</f>
        <v>0</v>
      </c>
      <c r="E47" s="31">
        <f>'Stavební rozpočet'!I334</f>
        <v>0</v>
      </c>
      <c r="F47" s="31">
        <f>'Stavební rozpočet'!J334</f>
        <v>0</v>
      </c>
      <c r="G47" s="31">
        <f>'Stavební rozpočet'!L334</f>
        <v>4.79248</v>
      </c>
      <c r="H47" s="31" t="s">
        <v>1229</v>
      </c>
      <c r="I47" s="31">
        <f t="shared" si="0"/>
        <v>0</v>
      </c>
    </row>
    <row r="48" spans="1:9" ht="12.75">
      <c r="A48" s="15"/>
      <c r="B48" s="15" t="s">
        <v>96</v>
      </c>
      <c r="C48" s="15" t="s">
        <v>1305</v>
      </c>
      <c r="D48" s="31">
        <f>'Stavební rozpočet'!H337</f>
        <v>0</v>
      </c>
      <c r="E48" s="31">
        <f>'Stavební rozpočet'!I337</f>
        <v>0</v>
      </c>
      <c r="F48" s="31">
        <f>'Stavební rozpočet'!J337</f>
        <v>0</v>
      </c>
      <c r="G48" s="31">
        <f>'Stavební rozpočet'!L337</f>
        <v>5.676510000000001</v>
      </c>
      <c r="H48" s="31" t="s">
        <v>1229</v>
      </c>
      <c r="I48" s="31">
        <f t="shared" si="0"/>
        <v>0</v>
      </c>
    </row>
    <row r="49" spans="1:9" ht="12.75">
      <c r="A49" s="15"/>
      <c r="B49" s="15" t="s">
        <v>100</v>
      </c>
      <c r="C49" s="15" t="s">
        <v>1033</v>
      </c>
      <c r="D49" s="31">
        <f>'Stavební rozpočet'!H342</f>
        <v>0</v>
      </c>
      <c r="E49" s="31">
        <f>'Stavební rozpočet'!I342</f>
        <v>0</v>
      </c>
      <c r="F49" s="31">
        <f>'Stavební rozpočet'!J342</f>
        <v>0</v>
      </c>
      <c r="G49" s="31">
        <f>'Stavební rozpočet'!L342</f>
        <v>12.42226125</v>
      </c>
      <c r="H49" s="31" t="s">
        <v>1229</v>
      </c>
      <c r="I49" s="31">
        <f t="shared" si="0"/>
        <v>0</v>
      </c>
    </row>
    <row r="50" spans="1:9" ht="12.75">
      <c r="A50" s="15"/>
      <c r="B50" s="15" t="s">
        <v>101</v>
      </c>
      <c r="C50" s="15" t="s">
        <v>1039</v>
      </c>
      <c r="D50" s="31">
        <f>'Stavební rozpočet'!H348</f>
        <v>0</v>
      </c>
      <c r="E50" s="31">
        <f>'Stavební rozpočet'!I348</f>
        <v>0</v>
      </c>
      <c r="F50" s="31">
        <f>'Stavební rozpočet'!J348</f>
        <v>0</v>
      </c>
      <c r="G50" s="31">
        <f>'Stavební rozpočet'!L348</f>
        <v>0.01708</v>
      </c>
      <c r="H50" s="31" t="s">
        <v>1229</v>
      </c>
      <c r="I50" s="31">
        <f t="shared" si="0"/>
        <v>0</v>
      </c>
    </row>
    <row r="51" spans="1:9" ht="12.75">
      <c r="A51" s="15"/>
      <c r="B51" s="15" t="s">
        <v>102</v>
      </c>
      <c r="C51" s="15" t="s">
        <v>1041</v>
      </c>
      <c r="D51" s="31">
        <f>'Stavební rozpočet'!H350</f>
        <v>0</v>
      </c>
      <c r="E51" s="31">
        <f>'Stavební rozpočet'!I350</f>
        <v>0</v>
      </c>
      <c r="F51" s="31">
        <f>'Stavební rozpočet'!J350</f>
        <v>0</v>
      </c>
      <c r="G51" s="31">
        <f>'Stavební rozpočet'!L350</f>
        <v>7.358810000000001</v>
      </c>
      <c r="H51" s="31" t="s">
        <v>1229</v>
      </c>
      <c r="I51" s="31">
        <f t="shared" si="0"/>
        <v>0</v>
      </c>
    </row>
    <row r="52" spans="1:9" ht="12.75">
      <c r="A52" s="15"/>
      <c r="B52" s="15" t="s">
        <v>103</v>
      </c>
      <c r="C52" s="15" t="s">
        <v>1046</v>
      </c>
      <c r="D52" s="31">
        <f>'Stavební rozpočet'!H355</f>
        <v>0</v>
      </c>
      <c r="E52" s="31">
        <f>'Stavební rozpočet'!I355</f>
        <v>0</v>
      </c>
      <c r="F52" s="31">
        <f>'Stavební rozpočet'!J355</f>
        <v>0</v>
      </c>
      <c r="G52" s="31">
        <f>'Stavební rozpočet'!L355</f>
        <v>10.544302085</v>
      </c>
      <c r="H52" s="31" t="s">
        <v>1229</v>
      </c>
      <c r="I52" s="31">
        <f t="shared" si="0"/>
        <v>0</v>
      </c>
    </row>
    <row r="53" spans="1:9" ht="12.75">
      <c r="A53" s="15"/>
      <c r="B53" s="15" t="s">
        <v>671</v>
      </c>
      <c r="C53" s="15" t="s">
        <v>1052</v>
      </c>
      <c r="D53" s="31">
        <f>'Stavební rozpočet'!H361</f>
        <v>0</v>
      </c>
      <c r="E53" s="31">
        <f>'Stavební rozpočet'!I361</f>
        <v>0</v>
      </c>
      <c r="F53" s="31">
        <f>'Stavební rozpočet'!J361</f>
        <v>0</v>
      </c>
      <c r="G53" s="31">
        <f>'Stavební rozpočet'!L361</f>
        <v>0</v>
      </c>
      <c r="H53" s="31" t="s">
        <v>1229</v>
      </c>
      <c r="I53" s="31">
        <f t="shared" si="0"/>
        <v>0</v>
      </c>
    </row>
    <row r="54" spans="1:9" ht="12.75">
      <c r="A54" s="15"/>
      <c r="B54" s="15" t="s">
        <v>673</v>
      </c>
      <c r="C54" s="15" t="s">
        <v>1054</v>
      </c>
      <c r="D54" s="31">
        <f>'Stavební rozpočet'!H363</f>
        <v>0</v>
      </c>
      <c r="E54" s="31">
        <f>'Stavební rozpočet'!I363</f>
        <v>0</v>
      </c>
      <c r="F54" s="31">
        <f>'Stavební rozpočet'!J363</f>
        <v>0</v>
      </c>
      <c r="G54" s="31">
        <f>'Stavební rozpočet'!L363</f>
        <v>0.44586000000000003</v>
      </c>
      <c r="H54" s="31" t="s">
        <v>1229</v>
      </c>
      <c r="I54" s="31">
        <f t="shared" si="0"/>
        <v>0</v>
      </c>
    </row>
    <row r="55" spans="1:9" ht="12.75">
      <c r="A55" s="15"/>
      <c r="B55" s="15" t="s">
        <v>725</v>
      </c>
      <c r="C55" s="15" t="s">
        <v>1105</v>
      </c>
      <c r="D55" s="31">
        <f>'Stavební rozpočet'!H420</f>
        <v>0</v>
      </c>
      <c r="E55" s="31">
        <f>'Stavební rozpočet'!I420</f>
        <v>0</v>
      </c>
      <c r="F55" s="31">
        <f>'Stavební rozpočet'!J420</f>
        <v>0</v>
      </c>
      <c r="G55" s="31">
        <f>'Stavební rozpočet'!L420</f>
        <v>0</v>
      </c>
      <c r="H55" s="31" t="s">
        <v>1229</v>
      </c>
      <c r="I55" s="31">
        <f t="shared" si="0"/>
        <v>0</v>
      </c>
    </row>
    <row r="56" spans="1:9" ht="12.75">
      <c r="A56" s="15"/>
      <c r="B56" s="15" t="s">
        <v>727</v>
      </c>
      <c r="C56" s="15" t="s">
        <v>1107</v>
      </c>
      <c r="D56" s="31">
        <f>'Stavební rozpočet'!H422</f>
        <v>0</v>
      </c>
      <c r="E56" s="31">
        <f>'Stavební rozpočet'!I422</f>
        <v>0</v>
      </c>
      <c r="F56" s="31">
        <f>'Stavební rozpočet'!J422</f>
        <v>0</v>
      </c>
      <c r="G56" s="31">
        <f>'Stavební rozpočet'!L422</f>
        <v>0</v>
      </c>
      <c r="H56" s="31" t="s">
        <v>1229</v>
      </c>
      <c r="I56" s="31">
        <f t="shared" si="0"/>
        <v>0</v>
      </c>
    </row>
    <row r="58" spans="5:6" ht="12.75">
      <c r="E58" s="41" t="s">
        <v>1138</v>
      </c>
      <c r="F58" s="44">
        <f>SUM(I11:I56)</f>
        <v>0</v>
      </c>
    </row>
  </sheetData>
  <sheetProtection password="C168" sheet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7" sqref="K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0"/>
      <c r="B1" s="45"/>
      <c r="C1" s="99" t="s">
        <v>1246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tr">
        <f>'Stavební rozpočet'!D2</f>
        <v>Přístavba tech. zázemí pro JSDH města Litvínova</v>
      </c>
      <c r="D2" s="93"/>
      <c r="E2" s="85" t="s">
        <v>1132</v>
      </c>
      <c r="F2" s="85" t="str">
        <f>'Stavební rozpočet'!I2</f>
        <v>Město Litvínov, Městský úřad Litvínov</v>
      </c>
      <c r="G2" s="79"/>
      <c r="H2" s="85" t="s">
        <v>1270</v>
      </c>
      <c r="I2" s="100" t="s">
        <v>1274</v>
      </c>
      <c r="J2" s="29"/>
    </row>
    <row r="3" spans="1:10" ht="12.75">
      <c r="A3" s="80"/>
      <c r="B3" s="81"/>
      <c r="C3" s="83"/>
      <c r="D3" s="83"/>
      <c r="E3" s="81"/>
      <c r="F3" s="81"/>
      <c r="G3" s="81"/>
      <c r="H3" s="81"/>
      <c r="I3" s="97"/>
      <c r="J3" s="29"/>
    </row>
    <row r="4" spans="1:10" ht="12.75">
      <c r="A4" s="86" t="s">
        <v>2</v>
      </c>
      <c r="B4" s="81"/>
      <c r="C4" s="87" t="str">
        <f>'Stavební rozpočet'!D4</f>
        <v>dostavba</v>
      </c>
      <c r="D4" s="81"/>
      <c r="E4" s="87" t="s">
        <v>1133</v>
      </c>
      <c r="F4" s="87" t="str">
        <f>'Stavební rozpočet'!I4</f>
        <v>MIKRO PRAHA spol s r.o.</v>
      </c>
      <c r="G4" s="81"/>
      <c r="H4" s="87" t="s">
        <v>1270</v>
      </c>
      <c r="I4" s="101" t="s">
        <v>1275</v>
      </c>
      <c r="J4" s="29"/>
    </row>
    <row r="5" spans="1:10" ht="12.75">
      <c r="A5" s="80"/>
      <c r="B5" s="81"/>
      <c r="C5" s="81"/>
      <c r="D5" s="81"/>
      <c r="E5" s="81"/>
      <c r="F5" s="81"/>
      <c r="G5" s="81"/>
      <c r="H5" s="81"/>
      <c r="I5" s="97"/>
      <c r="J5" s="29"/>
    </row>
    <row r="6" spans="1:10" ht="12.75">
      <c r="A6" s="86" t="s">
        <v>3</v>
      </c>
      <c r="B6" s="81"/>
      <c r="C6" s="87" t="str">
        <f>'Stavební rozpočet'!D6</f>
        <v>objekt č.p.20, k.ú. Hamr u Litvínova</v>
      </c>
      <c r="D6" s="81"/>
      <c r="E6" s="87" t="s">
        <v>1134</v>
      </c>
      <c r="F6" s="87" t="str">
        <f>'Stavební rozpočet'!I6</f>
        <v>0</v>
      </c>
      <c r="G6" s="81"/>
      <c r="H6" s="87" t="s">
        <v>1270</v>
      </c>
      <c r="I6" s="101"/>
      <c r="J6" s="29"/>
    </row>
    <row r="7" spans="1:10" ht="12.75">
      <c r="A7" s="80"/>
      <c r="B7" s="81"/>
      <c r="C7" s="81"/>
      <c r="D7" s="81"/>
      <c r="E7" s="81"/>
      <c r="F7" s="81"/>
      <c r="G7" s="81"/>
      <c r="H7" s="81"/>
      <c r="I7" s="97"/>
      <c r="J7" s="29"/>
    </row>
    <row r="8" spans="1:10" ht="12.75">
      <c r="A8" s="86" t="s">
        <v>1115</v>
      </c>
      <c r="B8" s="81"/>
      <c r="C8" s="87">
        <v>0</v>
      </c>
      <c r="D8" s="81"/>
      <c r="E8" s="87" t="s">
        <v>1116</v>
      </c>
      <c r="F8" s="87"/>
      <c r="G8" s="81"/>
      <c r="H8" s="88" t="s">
        <v>1271</v>
      </c>
      <c r="I8" s="101" t="s">
        <v>373</v>
      </c>
      <c r="J8" s="29"/>
    </row>
    <row r="9" spans="1:10" ht="12.75">
      <c r="A9" s="80"/>
      <c r="B9" s="81"/>
      <c r="C9" s="81"/>
      <c r="D9" s="81"/>
      <c r="E9" s="81"/>
      <c r="F9" s="81"/>
      <c r="G9" s="81"/>
      <c r="H9" s="81"/>
      <c r="I9" s="97"/>
      <c r="J9" s="29"/>
    </row>
    <row r="10" spans="1:10" ht="12.75">
      <c r="A10" s="86" t="s">
        <v>4</v>
      </c>
      <c r="B10" s="81"/>
      <c r="C10" s="87" t="str">
        <f>'Stavební rozpočet'!D8</f>
        <v> </v>
      </c>
      <c r="D10" s="81"/>
      <c r="E10" s="87" t="s">
        <v>1135</v>
      </c>
      <c r="F10" s="87" t="str">
        <f>'Stavební rozpočet'!I8</f>
        <v>jav</v>
      </c>
      <c r="G10" s="81"/>
      <c r="H10" s="88" t="s">
        <v>1272</v>
      </c>
      <c r="I10" s="104" t="str">
        <f>'Stavební rozpočet'!G8</f>
        <v>0</v>
      </c>
      <c r="J10" s="29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5"/>
      <c r="J11" s="29"/>
    </row>
    <row r="12" spans="1:9" ht="23.25" customHeight="1">
      <c r="A12" s="106" t="s">
        <v>1230</v>
      </c>
      <c r="B12" s="107"/>
      <c r="C12" s="107"/>
      <c r="D12" s="107"/>
      <c r="E12" s="107"/>
      <c r="F12" s="107"/>
      <c r="G12" s="107"/>
      <c r="H12" s="107"/>
      <c r="I12" s="107"/>
    </row>
    <row r="13" spans="1:10" ht="26.25" customHeight="1">
      <c r="A13" s="46" t="s">
        <v>1231</v>
      </c>
      <c r="B13" s="108" t="s">
        <v>1244</v>
      </c>
      <c r="C13" s="109"/>
      <c r="D13" s="46" t="s">
        <v>377</v>
      </c>
      <c r="E13" s="108" t="s">
        <v>1255</v>
      </c>
      <c r="F13" s="109"/>
      <c r="G13" s="46" t="s">
        <v>1256</v>
      </c>
      <c r="H13" s="108" t="s">
        <v>1273</v>
      </c>
      <c r="I13" s="109"/>
      <c r="J13" s="29"/>
    </row>
    <row r="14" spans="1:10" ht="15" customHeight="1">
      <c r="A14" s="47" t="s">
        <v>1232</v>
      </c>
      <c r="B14" s="50" t="s">
        <v>1245</v>
      </c>
      <c r="C14" s="54">
        <f>SUM('Stavební rozpočet'!AA12:AA428)</f>
        <v>0</v>
      </c>
      <c r="D14" s="110" t="s">
        <v>1247</v>
      </c>
      <c r="E14" s="111"/>
      <c r="F14" s="54">
        <f>VORN!I15</f>
        <v>0</v>
      </c>
      <c r="G14" s="110" t="s">
        <v>1257</v>
      </c>
      <c r="H14" s="111"/>
      <c r="I14" s="54">
        <f>VORN!I21</f>
        <v>0</v>
      </c>
      <c r="J14" s="29"/>
    </row>
    <row r="15" spans="1:10" ht="15" customHeight="1">
      <c r="A15" s="48"/>
      <c r="B15" s="50" t="s">
        <v>1141</v>
      </c>
      <c r="C15" s="54">
        <f>SUM('Stavební rozpočet'!AB12:AB428)</f>
        <v>0</v>
      </c>
      <c r="D15" s="110" t="s">
        <v>1248</v>
      </c>
      <c r="E15" s="111"/>
      <c r="F15" s="54">
        <f>VORN!I16</f>
        <v>0</v>
      </c>
      <c r="G15" s="110" t="s">
        <v>1258</v>
      </c>
      <c r="H15" s="111"/>
      <c r="I15" s="54">
        <f>VORN!I22</f>
        <v>0</v>
      </c>
      <c r="J15" s="29"/>
    </row>
    <row r="16" spans="1:10" ht="15" customHeight="1">
      <c r="A16" s="47" t="s">
        <v>1233</v>
      </c>
      <c r="B16" s="50" t="s">
        <v>1245</v>
      </c>
      <c r="C16" s="54">
        <f>SUM('Stavební rozpočet'!AC12:AC428)</f>
        <v>0</v>
      </c>
      <c r="D16" s="110" t="s">
        <v>1249</v>
      </c>
      <c r="E16" s="111"/>
      <c r="F16" s="54">
        <f>VORN!I17</f>
        <v>0</v>
      </c>
      <c r="G16" s="110" t="s">
        <v>1259</v>
      </c>
      <c r="H16" s="111"/>
      <c r="I16" s="54">
        <f>VORN!I23</f>
        <v>0</v>
      </c>
      <c r="J16" s="29"/>
    </row>
    <row r="17" spans="1:10" ht="15" customHeight="1">
      <c r="A17" s="48"/>
      <c r="B17" s="50" t="s">
        <v>1141</v>
      </c>
      <c r="C17" s="54">
        <f>SUM('Stavební rozpočet'!AD12:AD428)</f>
        <v>0</v>
      </c>
      <c r="D17" s="110"/>
      <c r="E17" s="111"/>
      <c r="F17" s="55"/>
      <c r="G17" s="110" t="s">
        <v>1260</v>
      </c>
      <c r="H17" s="111"/>
      <c r="I17" s="54">
        <f>VORN!I24</f>
        <v>0</v>
      </c>
      <c r="J17" s="29"/>
    </row>
    <row r="18" spans="1:10" ht="15" customHeight="1">
      <c r="A18" s="47" t="s">
        <v>1234</v>
      </c>
      <c r="B18" s="50" t="s">
        <v>1245</v>
      </c>
      <c r="C18" s="54">
        <f>SUM('Stavební rozpočet'!AE12:AE428)</f>
        <v>0</v>
      </c>
      <c r="D18" s="110"/>
      <c r="E18" s="111"/>
      <c r="F18" s="55"/>
      <c r="G18" s="110" t="s">
        <v>1261</v>
      </c>
      <c r="H18" s="111"/>
      <c r="I18" s="54">
        <f>VORN!I25</f>
        <v>0</v>
      </c>
      <c r="J18" s="29"/>
    </row>
    <row r="19" spans="1:10" ht="15" customHeight="1">
      <c r="A19" s="48"/>
      <c r="B19" s="50" t="s">
        <v>1141</v>
      </c>
      <c r="C19" s="54">
        <f>SUM('Stavební rozpočet'!AF12:AF428)</f>
        <v>0</v>
      </c>
      <c r="D19" s="110"/>
      <c r="E19" s="111"/>
      <c r="F19" s="55"/>
      <c r="G19" s="110" t="s">
        <v>1262</v>
      </c>
      <c r="H19" s="111"/>
      <c r="I19" s="54">
        <f>VORN!I26</f>
        <v>0</v>
      </c>
      <c r="J19" s="29"/>
    </row>
    <row r="20" spans="1:10" ht="15" customHeight="1">
      <c r="A20" s="112" t="s">
        <v>1235</v>
      </c>
      <c r="B20" s="113"/>
      <c r="C20" s="54">
        <f>SUM('Stavební rozpočet'!AG12:AG428)</f>
        <v>0</v>
      </c>
      <c r="D20" s="110"/>
      <c r="E20" s="111"/>
      <c r="F20" s="55"/>
      <c r="G20" s="110"/>
      <c r="H20" s="111"/>
      <c r="I20" s="55"/>
      <c r="J20" s="29"/>
    </row>
    <row r="21" spans="1:10" ht="15" customHeight="1">
      <c r="A21" s="112" t="s">
        <v>1236</v>
      </c>
      <c r="B21" s="113"/>
      <c r="C21" s="54">
        <f>SUM('Stavební rozpočet'!Y12:Y428)</f>
        <v>0</v>
      </c>
      <c r="D21" s="110"/>
      <c r="E21" s="111"/>
      <c r="F21" s="55"/>
      <c r="G21" s="110"/>
      <c r="H21" s="111"/>
      <c r="I21" s="55"/>
      <c r="J21" s="29"/>
    </row>
    <row r="22" spans="1:10" ht="16.5" customHeight="1">
      <c r="A22" s="112" t="s">
        <v>1237</v>
      </c>
      <c r="B22" s="113"/>
      <c r="C22" s="54">
        <f>SUM(C14:C21)</f>
        <v>0</v>
      </c>
      <c r="D22" s="112" t="s">
        <v>1250</v>
      </c>
      <c r="E22" s="113"/>
      <c r="F22" s="54">
        <f>SUM(F14:F21)</f>
        <v>0</v>
      </c>
      <c r="G22" s="112" t="s">
        <v>1263</v>
      </c>
      <c r="H22" s="113"/>
      <c r="I22" s="54">
        <f>SUM(I14:I21)</f>
        <v>0</v>
      </c>
      <c r="J22" s="29"/>
    </row>
    <row r="23" spans="1:10" ht="15" customHeight="1">
      <c r="A23" s="8"/>
      <c r="B23" s="8"/>
      <c r="C23" s="52"/>
      <c r="D23" s="112" t="s">
        <v>1251</v>
      </c>
      <c r="E23" s="113"/>
      <c r="F23" s="56">
        <v>0</v>
      </c>
      <c r="G23" s="112" t="s">
        <v>1264</v>
      </c>
      <c r="H23" s="113"/>
      <c r="I23" s="54">
        <v>0</v>
      </c>
      <c r="J23" s="29"/>
    </row>
    <row r="24" spans="4:10" ht="15" customHeight="1">
      <c r="D24" s="8"/>
      <c r="E24" s="8"/>
      <c r="F24" s="57"/>
      <c r="G24" s="112" t="s">
        <v>1265</v>
      </c>
      <c r="H24" s="113"/>
      <c r="I24" s="54">
        <f>vorn_sum</f>
        <v>0</v>
      </c>
      <c r="J24" s="29"/>
    </row>
    <row r="25" spans="6:10" ht="15" customHeight="1">
      <c r="F25" s="58"/>
      <c r="G25" s="112" t="s">
        <v>1266</v>
      </c>
      <c r="H25" s="113"/>
      <c r="I25" s="54">
        <v>0</v>
      </c>
      <c r="J25" s="29"/>
    </row>
    <row r="26" spans="1:9" ht="12.75">
      <c r="A26" s="45"/>
      <c r="B26" s="45"/>
      <c r="C26" s="45"/>
      <c r="G26" s="8"/>
      <c r="H26" s="8"/>
      <c r="I26" s="8"/>
    </row>
    <row r="27" spans="1:9" ht="15" customHeight="1">
      <c r="A27" s="114" t="s">
        <v>1238</v>
      </c>
      <c r="B27" s="115"/>
      <c r="C27" s="59">
        <f>SUM('Stavební rozpočet'!AI12:AI428)</f>
        <v>0</v>
      </c>
      <c r="D27" s="53"/>
      <c r="E27" s="45"/>
      <c r="F27" s="45"/>
      <c r="G27" s="45"/>
      <c r="H27" s="45"/>
      <c r="I27" s="45"/>
    </row>
    <row r="28" spans="1:10" ht="15" customHeight="1">
      <c r="A28" s="114" t="s">
        <v>1239</v>
      </c>
      <c r="B28" s="115"/>
      <c r="C28" s="59">
        <f>SUM('Stavební rozpočet'!AJ12:AJ428)</f>
        <v>0</v>
      </c>
      <c r="D28" s="114" t="s">
        <v>1252</v>
      </c>
      <c r="E28" s="115"/>
      <c r="F28" s="59">
        <f>ROUND(C28*(15/100),2)</f>
        <v>0</v>
      </c>
      <c r="G28" s="114" t="s">
        <v>1267</v>
      </c>
      <c r="H28" s="115"/>
      <c r="I28" s="59">
        <f>SUM(C27:C29)</f>
        <v>0</v>
      </c>
      <c r="J28" s="29"/>
    </row>
    <row r="29" spans="1:10" ht="15" customHeight="1">
      <c r="A29" s="114" t="s">
        <v>1240</v>
      </c>
      <c r="B29" s="115"/>
      <c r="C29" s="59">
        <f>SUM('Stavební rozpočet'!AK12:AK428)+(F22+I22+F23+I23+I24+I25)</f>
        <v>0</v>
      </c>
      <c r="D29" s="114" t="s">
        <v>1253</v>
      </c>
      <c r="E29" s="115"/>
      <c r="F29" s="59">
        <f>ROUND(C29*(21/100),2)</f>
        <v>0</v>
      </c>
      <c r="G29" s="114" t="s">
        <v>1268</v>
      </c>
      <c r="H29" s="115"/>
      <c r="I29" s="59">
        <f>SUM(F28:F29)+I28</f>
        <v>0</v>
      </c>
      <c r="J29" s="29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16" t="s">
        <v>1241</v>
      </c>
      <c r="B31" s="117"/>
      <c r="C31" s="118"/>
      <c r="D31" s="116" t="s">
        <v>1254</v>
      </c>
      <c r="E31" s="117"/>
      <c r="F31" s="118"/>
      <c r="G31" s="116" t="s">
        <v>1269</v>
      </c>
      <c r="H31" s="117"/>
      <c r="I31" s="118"/>
      <c r="J31" s="30"/>
    </row>
    <row r="32" spans="1:10" ht="14.25" customHeight="1">
      <c r="A32" s="119"/>
      <c r="B32" s="120"/>
      <c r="C32" s="121"/>
      <c r="D32" s="119"/>
      <c r="E32" s="120"/>
      <c r="F32" s="121"/>
      <c r="G32" s="119"/>
      <c r="H32" s="120"/>
      <c r="I32" s="121"/>
      <c r="J32" s="30"/>
    </row>
    <row r="33" spans="1:10" ht="14.25" customHeight="1">
      <c r="A33" s="119"/>
      <c r="B33" s="120"/>
      <c r="C33" s="121"/>
      <c r="D33" s="119"/>
      <c r="E33" s="120"/>
      <c r="F33" s="121"/>
      <c r="G33" s="119"/>
      <c r="H33" s="120"/>
      <c r="I33" s="121"/>
      <c r="J33" s="30"/>
    </row>
    <row r="34" spans="1:10" ht="14.25" customHeight="1">
      <c r="A34" s="119"/>
      <c r="B34" s="120"/>
      <c r="C34" s="121"/>
      <c r="D34" s="119"/>
      <c r="E34" s="120"/>
      <c r="F34" s="121"/>
      <c r="G34" s="119"/>
      <c r="H34" s="120"/>
      <c r="I34" s="121"/>
      <c r="J34" s="30"/>
    </row>
    <row r="35" spans="1:10" ht="14.25" customHeight="1" thickBot="1">
      <c r="A35" s="122" t="s">
        <v>1242</v>
      </c>
      <c r="B35" s="123"/>
      <c r="C35" s="124"/>
      <c r="D35" s="122" t="s">
        <v>1242</v>
      </c>
      <c r="E35" s="123"/>
      <c r="F35" s="124"/>
      <c r="G35" s="122" t="s">
        <v>1242</v>
      </c>
      <c r="H35" s="123"/>
      <c r="I35" s="124"/>
      <c r="J35" s="30"/>
    </row>
    <row r="36" spans="1:9" ht="11.25" customHeight="1">
      <c r="A36" s="145" t="s">
        <v>1243</v>
      </c>
      <c r="B36" s="146"/>
      <c r="C36" s="146"/>
      <c r="D36" s="146"/>
      <c r="E36" s="146"/>
      <c r="F36" s="146"/>
      <c r="G36" s="146"/>
      <c r="H36" s="146"/>
      <c r="I36" s="146"/>
    </row>
    <row r="37" spans="1:9" ht="63.75" customHeight="1">
      <c r="A37" s="147"/>
      <c r="B37" s="147"/>
      <c r="C37" s="147"/>
      <c r="D37" s="147"/>
      <c r="E37" s="147"/>
      <c r="F37" s="147"/>
      <c r="G37" s="147"/>
      <c r="H37" s="147"/>
      <c r="I37" s="147"/>
    </row>
  </sheetData>
  <sheetProtection password="C168" sheet="1"/>
  <mergeCells count="83">
    <mergeCell ref="A34:C34"/>
    <mergeCell ref="D34:F34"/>
    <mergeCell ref="G34:I34"/>
    <mergeCell ref="A35:C35"/>
    <mergeCell ref="D35:F35"/>
    <mergeCell ref="G35:I35"/>
    <mergeCell ref="A36:I37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0"/>
      <c r="B1" s="45"/>
      <c r="C1" s="99" t="s">
        <v>1284</v>
      </c>
      <c r="D1" s="77"/>
      <c r="E1" s="77"/>
      <c r="F1" s="77"/>
      <c r="G1" s="77"/>
      <c r="H1" s="77"/>
      <c r="I1" s="77"/>
    </row>
    <row r="2" spans="1:10" ht="12.75">
      <c r="A2" s="78" t="s">
        <v>1</v>
      </c>
      <c r="B2" s="79"/>
      <c r="C2" s="82" t="str">
        <f>'Stavební rozpočet'!D2</f>
        <v>Přístavba tech. zázemí pro JSDH města Litvínova</v>
      </c>
      <c r="D2" s="93"/>
      <c r="E2" s="85" t="s">
        <v>1132</v>
      </c>
      <c r="F2" s="85" t="str">
        <f>'Stavební rozpočet'!I2</f>
        <v>Město Litvínov, Městský úřad Litvínov</v>
      </c>
      <c r="G2" s="79"/>
      <c r="H2" s="85" t="s">
        <v>1270</v>
      </c>
      <c r="I2" s="100" t="s">
        <v>1274</v>
      </c>
      <c r="J2" s="29"/>
    </row>
    <row r="3" spans="1:10" ht="12.75">
      <c r="A3" s="80"/>
      <c r="B3" s="81"/>
      <c r="C3" s="83"/>
      <c r="D3" s="83"/>
      <c r="E3" s="81"/>
      <c r="F3" s="81"/>
      <c r="G3" s="81"/>
      <c r="H3" s="81"/>
      <c r="I3" s="97"/>
      <c r="J3" s="29"/>
    </row>
    <row r="4" spans="1:10" ht="12.75">
      <c r="A4" s="86" t="s">
        <v>2</v>
      </c>
      <c r="B4" s="81"/>
      <c r="C4" s="87" t="str">
        <f>'Stavební rozpočet'!D4</f>
        <v>dostavba</v>
      </c>
      <c r="D4" s="81"/>
      <c r="E4" s="87" t="s">
        <v>1133</v>
      </c>
      <c r="F4" s="87" t="str">
        <f>'Stavební rozpočet'!I4</f>
        <v>MIKRO PRAHA spol s r.o.</v>
      </c>
      <c r="G4" s="81"/>
      <c r="H4" s="87" t="s">
        <v>1270</v>
      </c>
      <c r="I4" s="101" t="s">
        <v>1275</v>
      </c>
      <c r="J4" s="29"/>
    </row>
    <row r="5" spans="1:10" ht="12.75">
      <c r="A5" s="80"/>
      <c r="B5" s="81"/>
      <c r="C5" s="81"/>
      <c r="D5" s="81"/>
      <c r="E5" s="81"/>
      <c r="F5" s="81"/>
      <c r="G5" s="81"/>
      <c r="H5" s="81"/>
      <c r="I5" s="97"/>
      <c r="J5" s="29"/>
    </row>
    <row r="6" spans="1:10" ht="12.75">
      <c r="A6" s="86" t="s">
        <v>3</v>
      </c>
      <c r="B6" s="81"/>
      <c r="C6" s="87" t="str">
        <f>'Stavební rozpočet'!D6</f>
        <v>objekt č.p.20, k.ú. Hamr u Litvínova</v>
      </c>
      <c r="D6" s="81"/>
      <c r="E6" s="87" t="s">
        <v>1134</v>
      </c>
      <c r="F6" s="87" t="str">
        <f>'Stavební rozpočet'!I6</f>
        <v>0</v>
      </c>
      <c r="G6" s="81"/>
      <c r="H6" s="87" t="s">
        <v>1270</v>
      </c>
      <c r="I6" s="101"/>
      <c r="J6" s="29"/>
    </row>
    <row r="7" spans="1:10" ht="12.75">
      <c r="A7" s="80"/>
      <c r="B7" s="81"/>
      <c r="C7" s="81"/>
      <c r="D7" s="81"/>
      <c r="E7" s="81"/>
      <c r="F7" s="81"/>
      <c r="G7" s="81"/>
      <c r="H7" s="81"/>
      <c r="I7" s="97"/>
      <c r="J7" s="29"/>
    </row>
    <row r="8" spans="1:10" ht="12.75">
      <c r="A8" s="86" t="s">
        <v>1115</v>
      </c>
      <c r="B8" s="81"/>
      <c r="C8" s="87">
        <f>'Stavební rozpočet'!G4</f>
        <v>0</v>
      </c>
      <c r="D8" s="81"/>
      <c r="E8" s="87" t="s">
        <v>1116</v>
      </c>
      <c r="F8" s="87" t="str">
        <f>'Stavební rozpočet'!G6</f>
        <v> </v>
      </c>
      <c r="G8" s="81"/>
      <c r="H8" s="88" t="s">
        <v>1271</v>
      </c>
      <c r="I8" s="101" t="s">
        <v>373</v>
      </c>
      <c r="J8" s="29"/>
    </row>
    <row r="9" spans="1:10" ht="12.75">
      <c r="A9" s="80"/>
      <c r="B9" s="81"/>
      <c r="C9" s="81"/>
      <c r="D9" s="81"/>
      <c r="E9" s="81"/>
      <c r="F9" s="81"/>
      <c r="G9" s="81"/>
      <c r="H9" s="81"/>
      <c r="I9" s="97"/>
      <c r="J9" s="29"/>
    </row>
    <row r="10" spans="1:10" ht="12.75">
      <c r="A10" s="86" t="s">
        <v>4</v>
      </c>
      <c r="B10" s="81"/>
      <c r="C10" s="87" t="str">
        <f>'Stavební rozpočet'!D8</f>
        <v> </v>
      </c>
      <c r="D10" s="81"/>
      <c r="E10" s="87" t="s">
        <v>1135</v>
      </c>
      <c r="F10" s="87" t="str">
        <f>'Stavební rozpočet'!I8</f>
        <v>jav</v>
      </c>
      <c r="G10" s="81"/>
      <c r="H10" s="88" t="s">
        <v>1272</v>
      </c>
      <c r="I10" s="104" t="str">
        <f>'Stavební rozpočet'!G8</f>
        <v>0</v>
      </c>
      <c r="J10" s="29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5"/>
      <c r="J11" s="29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25" t="s">
        <v>1276</v>
      </c>
      <c r="B13" s="126"/>
      <c r="C13" s="126"/>
      <c r="D13" s="126"/>
      <c r="E13" s="126"/>
      <c r="F13" s="61"/>
      <c r="G13" s="61"/>
      <c r="H13" s="61"/>
      <c r="I13" s="61"/>
    </row>
    <row r="14" spans="1:10" ht="12.75">
      <c r="A14" s="127" t="s">
        <v>1277</v>
      </c>
      <c r="B14" s="128"/>
      <c r="C14" s="128"/>
      <c r="D14" s="128"/>
      <c r="E14" s="129"/>
      <c r="F14" s="62" t="s">
        <v>1285</v>
      </c>
      <c r="G14" s="62" t="s">
        <v>1286</v>
      </c>
      <c r="H14" s="62" t="s">
        <v>1287</v>
      </c>
      <c r="I14" s="62" t="s">
        <v>1285</v>
      </c>
      <c r="J14" s="30"/>
    </row>
    <row r="15" spans="1:10" ht="12.75">
      <c r="A15" s="130" t="s">
        <v>1247</v>
      </c>
      <c r="B15" s="131"/>
      <c r="C15" s="131"/>
      <c r="D15" s="131"/>
      <c r="E15" s="132"/>
      <c r="F15" s="63">
        <v>0</v>
      </c>
      <c r="G15" s="66"/>
      <c r="H15" s="66"/>
      <c r="I15" s="63">
        <f>F15</f>
        <v>0</v>
      </c>
      <c r="J15" s="29"/>
    </row>
    <row r="16" spans="1:10" ht="12.75">
      <c r="A16" s="130" t="s">
        <v>1248</v>
      </c>
      <c r="B16" s="131"/>
      <c r="C16" s="131"/>
      <c r="D16" s="131"/>
      <c r="E16" s="132"/>
      <c r="F16" s="63">
        <v>0</v>
      </c>
      <c r="G16" s="66"/>
      <c r="H16" s="66"/>
      <c r="I16" s="63">
        <f>F16</f>
        <v>0</v>
      </c>
      <c r="J16" s="29"/>
    </row>
    <row r="17" spans="1:10" ht="12.75">
      <c r="A17" s="133" t="s">
        <v>1249</v>
      </c>
      <c r="B17" s="134"/>
      <c r="C17" s="134"/>
      <c r="D17" s="134"/>
      <c r="E17" s="135"/>
      <c r="F17" s="64">
        <v>0</v>
      </c>
      <c r="G17" s="67"/>
      <c r="H17" s="67"/>
      <c r="I17" s="64">
        <f>F17</f>
        <v>0</v>
      </c>
      <c r="J17" s="29"/>
    </row>
    <row r="18" spans="1:10" ht="12.75">
      <c r="A18" s="136" t="s">
        <v>1278</v>
      </c>
      <c r="B18" s="137"/>
      <c r="C18" s="137"/>
      <c r="D18" s="137"/>
      <c r="E18" s="138"/>
      <c r="F18" s="65"/>
      <c r="G18" s="68"/>
      <c r="H18" s="68"/>
      <c r="I18" s="69">
        <f>SUM(I15:I17)</f>
        <v>0</v>
      </c>
      <c r="J18" s="30"/>
    </row>
    <row r="19" spans="1:9" ht="12.75">
      <c r="A19" s="60"/>
      <c r="B19" s="60"/>
      <c r="C19" s="60"/>
      <c r="D19" s="60"/>
      <c r="E19" s="60"/>
      <c r="F19" s="60"/>
      <c r="G19" s="60"/>
      <c r="H19" s="60"/>
      <c r="I19" s="60"/>
    </row>
    <row r="20" spans="1:10" ht="12.75">
      <c r="A20" s="127" t="s">
        <v>1273</v>
      </c>
      <c r="B20" s="128"/>
      <c r="C20" s="128"/>
      <c r="D20" s="128"/>
      <c r="E20" s="129"/>
      <c r="F20" s="62" t="s">
        <v>1285</v>
      </c>
      <c r="G20" s="62" t="s">
        <v>1286</v>
      </c>
      <c r="H20" s="62" t="s">
        <v>1287</v>
      </c>
      <c r="I20" s="62" t="s">
        <v>1285</v>
      </c>
      <c r="J20" s="30"/>
    </row>
    <row r="21" spans="1:10" ht="12.75">
      <c r="A21" s="130" t="s">
        <v>1257</v>
      </c>
      <c r="B21" s="131"/>
      <c r="C21" s="131"/>
      <c r="D21" s="131"/>
      <c r="E21" s="132"/>
      <c r="F21" s="66"/>
      <c r="G21" s="153">
        <v>0</v>
      </c>
      <c r="H21" s="63">
        <f>'Krycí list rozpočtu'!C22</f>
        <v>0</v>
      </c>
      <c r="I21" s="63">
        <f>(G21/100)*H21</f>
        <v>0</v>
      </c>
      <c r="J21" s="29"/>
    </row>
    <row r="22" spans="1:10" ht="12.75">
      <c r="A22" s="130" t="s">
        <v>1258</v>
      </c>
      <c r="B22" s="131"/>
      <c r="C22" s="131"/>
      <c r="D22" s="131"/>
      <c r="E22" s="132"/>
      <c r="F22" s="153">
        <v>0</v>
      </c>
      <c r="G22" s="66"/>
      <c r="H22" s="66"/>
      <c r="I22" s="63">
        <f>F22</f>
        <v>0</v>
      </c>
      <c r="J22" s="29"/>
    </row>
    <row r="23" spans="1:10" ht="12.75">
      <c r="A23" s="130" t="s">
        <v>1259</v>
      </c>
      <c r="B23" s="131"/>
      <c r="C23" s="131"/>
      <c r="D23" s="131"/>
      <c r="E23" s="132"/>
      <c r="F23" s="153">
        <v>0</v>
      </c>
      <c r="G23" s="66"/>
      <c r="H23" s="66"/>
      <c r="I23" s="63">
        <f>F23</f>
        <v>0</v>
      </c>
      <c r="J23" s="29"/>
    </row>
    <row r="24" spans="1:10" ht="12.75">
      <c r="A24" s="130" t="s">
        <v>1260</v>
      </c>
      <c r="B24" s="131"/>
      <c r="C24" s="131"/>
      <c r="D24" s="131"/>
      <c r="E24" s="132"/>
      <c r="F24" s="153">
        <v>0</v>
      </c>
      <c r="G24" s="66"/>
      <c r="H24" s="66"/>
      <c r="I24" s="63">
        <f>F24</f>
        <v>0</v>
      </c>
      <c r="J24" s="29"/>
    </row>
    <row r="25" spans="1:10" ht="12.75">
      <c r="A25" s="130" t="s">
        <v>1261</v>
      </c>
      <c r="B25" s="131"/>
      <c r="C25" s="131"/>
      <c r="D25" s="131"/>
      <c r="E25" s="132"/>
      <c r="F25" s="153">
        <v>0</v>
      </c>
      <c r="G25" s="66"/>
      <c r="H25" s="66"/>
      <c r="I25" s="63">
        <f>F25</f>
        <v>0</v>
      </c>
      <c r="J25" s="29"/>
    </row>
    <row r="26" spans="1:10" ht="12.75">
      <c r="A26" s="133" t="s">
        <v>1262</v>
      </c>
      <c r="B26" s="134"/>
      <c r="C26" s="134"/>
      <c r="D26" s="134"/>
      <c r="E26" s="135"/>
      <c r="F26" s="154">
        <v>0</v>
      </c>
      <c r="G26" s="67"/>
      <c r="H26" s="67"/>
      <c r="I26" s="64">
        <f>F26</f>
        <v>0</v>
      </c>
      <c r="J26" s="29"/>
    </row>
    <row r="27" spans="1:10" ht="12.75">
      <c r="A27" s="136" t="s">
        <v>1279</v>
      </c>
      <c r="B27" s="137"/>
      <c r="C27" s="137"/>
      <c r="D27" s="137"/>
      <c r="E27" s="138"/>
      <c r="F27" s="65"/>
      <c r="G27" s="68"/>
      <c r="H27" s="68"/>
      <c r="I27" s="69">
        <f>SUM(I21:I26)</f>
        <v>0</v>
      </c>
      <c r="J27" s="30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10" ht="15" customHeight="1">
      <c r="A29" s="139" t="s">
        <v>1280</v>
      </c>
      <c r="B29" s="140"/>
      <c r="C29" s="140"/>
      <c r="D29" s="140"/>
      <c r="E29" s="141"/>
      <c r="F29" s="142">
        <f>I18+I27</f>
        <v>0</v>
      </c>
      <c r="G29" s="143"/>
      <c r="H29" s="143"/>
      <c r="I29" s="144"/>
      <c r="J29" s="30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3" spans="1:9" ht="15" customHeight="1">
      <c r="A33" s="125" t="s">
        <v>1281</v>
      </c>
      <c r="B33" s="126"/>
      <c r="C33" s="126"/>
      <c r="D33" s="126"/>
      <c r="E33" s="126"/>
      <c r="F33" s="61"/>
      <c r="G33" s="61"/>
      <c r="H33" s="61"/>
      <c r="I33" s="61"/>
    </row>
    <row r="34" spans="1:10" ht="12.75">
      <c r="A34" s="127" t="s">
        <v>1282</v>
      </c>
      <c r="B34" s="128"/>
      <c r="C34" s="128"/>
      <c r="D34" s="128"/>
      <c r="E34" s="129"/>
      <c r="F34" s="62" t="s">
        <v>1285</v>
      </c>
      <c r="G34" s="62" t="s">
        <v>1286</v>
      </c>
      <c r="H34" s="62" t="s">
        <v>1287</v>
      </c>
      <c r="I34" s="62" t="s">
        <v>1285</v>
      </c>
      <c r="J34" s="30"/>
    </row>
    <row r="35" spans="1:10" ht="12.75">
      <c r="A35" s="133"/>
      <c r="B35" s="134"/>
      <c r="C35" s="134"/>
      <c r="D35" s="134"/>
      <c r="E35" s="135"/>
      <c r="F35" s="64">
        <v>0</v>
      </c>
      <c r="G35" s="67"/>
      <c r="H35" s="67"/>
      <c r="I35" s="64">
        <f>F35</f>
        <v>0</v>
      </c>
      <c r="J35" s="29"/>
    </row>
    <row r="36" spans="1:10" ht="12.75">
      <c r="A36" s="136" t="s">
        <v>1283</v>
      </c>
      <c r="B36" s="137"/>
      <c r="C36" s="137"/>
      <c r="D36" s="137"/>
      <c r="E36" s="138"/>
      <c r="F36" s="65"/>
      <c r="G36" s="68"/>
      <c r="H36" s="68"/>
      <c r="I36" s="69">
        <f>SUM(I35:I35)</f>
        <v>0</v>
      </c>
      <c r="J36" s="30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</sheetData>
  <sheetProtection password="C168" sheet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Jaroslav javurek</cp:lastModifiedBy>
  <cp:lastPrinted>2020-09-07T14:11:14Z</cp:lastPrinted>
  <dcterms:created xsi:type="dcterms:W3CDTF">2020-05-11T14:37:43Z</dcterms:created>
  <dcterms:modified xsi:type="dcterms:W3CDTF">2020-09-07T14:46:51Z</dcterms:modified>
  <cp:category/>
  <cp:version/>
  <cp:contentType/>
  <cp:contentStatus/>
</cp:coreProperties>
</file>