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9660" windowHeight="5490" activeTab="0"/>
  </bookViews>
  <sheets>
    <sheet name="Stavební rozpočet" sheetId="1" r:id="rId1"/>
    <sheet name="Krycí list rozpočtu" sheetId="2" r:id="rId2"/>
  </sheets>
  <definedNames/>
  <calcPr calcId="125725"/>
</workbook>
</file>

<file path=xl/sharedStrings.xml><?xml version="1.0" encoding="utf-8"?>
<sst xmlns="http://schemas.openxmlformats.org/spreadsheetml/2006/main" count="706" uniqueCount="338">
  <si>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</si>
  <si>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</si>
  <si>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</si>
  <si>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</si>
  <si>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</si>
  <si>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</si>
  <si>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</si>
  <si>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</si>
  <si>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</si>
  <si>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</si>
  <si>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</si>
  <si>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</si>
  <si>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</si>
  <si>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</si>
  <si>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</si>
  <si>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</si>
  <si>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</si>
  <si>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</si>
  <si>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</si>
  <si>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</si>
  <si>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</si>
  <si>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</si>
  <si>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</si>
  <si>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</si>
  <si>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</si>
  <si>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</si>
  <si>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</si>
  <si>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</si>
  <si>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</si>
  <si>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</si>
  <si>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</si>
  <si>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</si>
  <si>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</si>
  <si>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</si>
  <si>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</si>
  <si>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</si>
  <si>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</si>
  <si>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</si>
  <si>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</si>
  <si>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</si>
  <si>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</si>
  <si>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</si>
  <si>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</si>
  <si>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</si>
  <si>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</si>
  <si>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</si>
  <si>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</si>
  <si>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</si>
  <si>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</si>
  <si>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</si>
  <si>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</si>
  <si>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</si>
  <si>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</si>
  <si>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</si>
  <si>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</si>
  <si>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</si>
  <si>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</si>
  <si>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Poznámka:</t>
  </si>
  <si>
    <t>Kód</t>
  </si>
  <si>
    <t>0</t>
  </si>
  <si>
    <t>001221160VD</t>
  </si>
  <si>
    <t>202110014VD</t>
  </si>
  <si>
    <t>317318111R00</t>
  </si>
  <si>
    <t>61</t>
  </si>
  <si>
    <t>617421232R00</t>
  </si>
  <si>
    <t>62</t>
  </si>
  <si>
    <t>622319015R00</t>
  </si>
  <si>
    <t>711</t>
  </si>
  <si>
    <t>711111006RZ4</t>
  </si>
  <si>
    <t>711151111R00</t>
  </si>
  <si>
    <t>62852269</t>
  </si>
  <si>
    <t>712</t>
  </si>
  <si>
    <t>712300832R00</t>
  </si>
  <si>
    <t>712300831R00</t>
  </si>
  <si>
    <t>712341559R00</t>
  </si>
  <si>
    <t>628522691</t>
  </si>
  <si>
    <t>628522530</t>
  </si>
  <si>
    <t>712110012VD</t>
  </si>
  <si>
    <t>713</t>
  </si>
  <si>
    <t>713104212R00</t>
  </si>
  <si>
    <t>713141326R00</t>
  </si>
  <si>
    <t>28375704</t>
  </si>
  <si>
    <t>721</t>
  </si>
  <si>
    <t>721242803R00</t>
  </si>
  <si>
    <t>721242117R00</t>
  </si>
  <si>
    <t>764</t>
  </si>
  <si>
    <t>764430840R00</t>
  </si>
  <si>
    <t>764530440RT2</t>
  </si>
  <si>
    <t>764221121VD</t>
  </si>
  <si>
    <t>764900035RA0</t>
  </si>
  <si>
    <t>764454801R00</t>
  </si>
  <si>
    <t>764359810R00</t>
  </si>
  <si>
    <t>764322830R00</t>
  </si>
  <si>
    <t>764251407R00</t>
  </si>
  <si>
    <t>764554410RAD</t>
  </si>
  <si>
    <t>764259411R00</t>
  </si>
  <si>
    <t>764223420R00</t>
  </si>
  <si>
    <t>764775320R00</t>
  </si>
  <si>
    <t>767</t>
  </si>
  <si>
    <t>767311810R00</t>
  </si>
  <si>
    <t>767316514R00</t>
  </si>
  <si>
    <t>61100118</t>
  </si>
  <si>
    <t>784</t>
  </si>
  <si>
    <t>784433271R00</t>
  </si>
  <si>
    <t>95</t>
  </si>
  <si>
    <t>952901411R00</t>
  </si>
  <si>
    <t>97</t>
  </si>
  <si>
    <t>978041110R00</t>
  </si>
  <si>
    <t>H99</t>
  </si>
  <si>
    <t>999281105R00</t>
  </si>
  <si>
    <t>S</t>
  </si>
  <si>
    <t>979013312R00</t>
  </si>
  <si>
    <t>979082212R00</t>
  </si>
  <si>
    <t>979087113R00</t>
  </si>
  <si>
    <t>979081111R00</t>
  </si>
  <si>
    <t>979081121R00</t>
  </si>
  <si>
    <t>979990121R00</t>
  </si>
  <si>
    <t>979990143R00</t>
  </si>
  <si>
    <t>979999999R00</t>
  </si>
  <si>
    <t>012VD</t>
  </si>
  <si>
    <t>012111111VD</t>
  </si>
  <si>
    <t>012111113VD</t>
  </si>
  <si>
    <t>012111114VD</t>
  </si>
  <si>
    <t>Výměna střešní krytiny na spojovacím krčku budovy bakalářských studií v Litvínově</t>
  </si>
  <si>
    <t>D.1.1. ARCHITEKTONICKO STAVEBNÍ ŘEŠENÍ - SO 01-A</t>
  </si>
  <si>
    <t>č.p. 637, ulice Ukrajinská, Litvínov</t>
  </si>
  <si>
    <t>Zkrácený popis</t>
  </si>
  <si>
    <t>Rozměry</t>
  </si>
  <si>
    <t>Všeobecné konstrukce a práce</t>
  </si>
  <si>
    <t>Ochranné kryty střešních světlíků</t>
  </si>
  <si>
    <t>5;S1;   </t>
  </si>
  <si>
    <t>dočasná demontáž ochranných krytů střešních světlíků,   </t>
  </si>
  <si>
    <t>jejich oprava a po provedení nového střešního pláště   </t>
  </si>
  <si>
    <t>osazení zpět na nové střešní světlíky   </t>
  </si>
  <si>
    <t>Výtažné zkoušky pro určení typu kotev</t>
  </si>
  <si>
    <t>1;S6;   </t>
  </si>
  <si>
    <t>Zdi podpěrné a volné</t>
  </si>
  <si>
    <t>Nadbetonování prahu střešních světlíků š. 60mm betonem C 20/25</t>
  </si>
  <si>
    <t>1,2*4*5;S3;   </t>
  </si>
  <si>
    <t>Úprava povrchů vnitřní</t>
  </si>
  <si>
    <t>Omítka vnitřní světlíků, MVC, štuková hlazená</t>
  </si>
  <si>
    <t>1,2*4*0,1*5;S3;   </t>
  </si>
  <si>
    <t>Úprava povrchů vnější</t>
  </si>
  <si>
    <t>Soklová lišta zakládací</t>
  </si>
  <si>
    <t>4,5+3,3+3,5+3,2+15;S7;   </t>
  </si>
  <si>
    <t>29,5*0,1;prořez;   </t>
  </si>
  <si>
    <t>Izolace proti vodě</t>
  </si>
  <si>
    <t>Izolace proti vlhkosti vodor.,nátěr penetr.emulzí včetně emulze Dekprimer</t>
  </si>
  <si>
    <t>87,5;S6;   </t>
  </si>
  <si>
    <t>87,5*0,1;ztratné;   </t>
  </si>
  <si>
    <t>Izolace proti vlhk. vodorovná samolepicím pásem</t>
  </si>
  <si>
    <t>Pás modif. asfalt samolep Glastek 30 sticker plus</t>
  </si>
  <si>
    <t>Izolace střech (živičné krytiny)</t>
  </si>
  <si>
    <t>Odstranění povlakové krytiny střech do 10° 2vrstvé</t>
  </si>
  <si>
    <t>Odstranění parotěsné zábrany střech do 10° 1vrstvé</t>
  </si>
  <si>
    <t>Povlaková krytina střech do 10°, NAIP přitavením</t>
  </si>
  <si>
    <t>Pás modifikovaný asfalt Glastek AL 40 mineral</t>
  </si>
  <si>
    <t>87,5*0,15;prořez;   </t>
  </si>
  <si>
    <t>Pás modifikovaný asfalt Elastek 40 Firestop</t>
  </si>
  <si>
    <t>Vyspravení betonového povrchu střechy</t>
  </si>
  <si>
    <t>Izolace tepelné</t>
  </si>
  <si>
    <t>Odstr.tep.izolace střech pl,kotv.,EPS tl.100-200mm</t>
  </si>
  <si>
    <t>Izolace tepelná střech do tl.250 mm,2vrstvy,kotvy</t>
  </si>
  <si>
    <t>Deska izolační stabilizov. EPS 100  1000 x 500 mm</t>
  </si>
  <si>
    <t>87,5*0,22;S6;   </t>
  </si>
  <si>
    <t>19,25*0,15;prořez;   </t>
  </si>
  <si>
    <t>Vnitřní kanalizace</t>
  </si>
  <si>
    <t>Demontáž lapače střešních splavenin DN 100</t>
  </si>
  <si>
    <t>1;S8;   </t>
  </si>
  <si>
    <t>Lapač střešních splavenin litinový DN 150</t>
  </si>
  <si>
    <t>Konstrukce klempířské</t>
  </si>
  <si>
    <t>Demontáž oplechování atiky, rš od 330 do 500 mm</t>
  </si>
  <si>
    <t>6,73;S2;   </t>
  </si>
  <si>
    <t>Oplechování atiky z Ti Zn plechu, rš 500 mm</t>
  </si>
  <si>
    <t>6,723;S2;   </t>
  </si>
  <si>
    <t>6,723*0,05;prořez;   </t>
  </si>
  <si>
    <t>Úprava stávajících střešních svodů z okolních střech</t>
  </si>
  <si>
    <t>3;S5;   </t>
  </si>
  <si>
    <t>po dobu rekonstrukce střešního pláště odklon dešťových vod pomocí pružných hadic   </t>
  </si>
  <si>
    <t>mimo objekt střechy , po dokončení střešního pláště instalace nových výtoků střešních svodů   </t>
  </si>
  <si>
    <t>Demontáž podokapních žlabů půlkruhových</t>
  </si>
  <si>
    <t>6,4;S8;   </t>
  </si>
  <si>
    <t>Demontáž odpadních trub kruhových</t>
  </si>
  <si>
    <t>3;S8;   </t>
  </si>
  <si>
    <t>Demontáž kotlíku kónického, sklon do 30°</t>
  </si>
  <si>
    <t>Demontáž oplechování okapů</t>
  </si>
  <si>
    <t>Žlaby z Ti Zn plechu, podok. půlkruhové, rš 500 mm</t>
  </si>
  <si>
    <t>Odpadní trouby z TiZn plechu kruhové průměru 150 mm</t>
  </si>
  <si>
    <t>Kotlík kónický z pl.Ti-Zn pro trouby D do 150 mm</t>
  </si>
  <si>
    <t>Oplechování okapů Ti Zn,živičná krytina, rš 250 mm</t>
  </si>
  <si>
    <t>Manžeta pro utěs.průchod.nástavce odvětr</t>
  </si>
  <si>
    <t>2;S9;   </t>
  </si>
  <si>
    <t>Konstrukce doplňkové stavební (zámečnické)</t>
  </si>
  <si>
    <t>Demontáž světlíků všech typů včetně zasklení</t>
  </si>
  <si>
    <t>1,1*1,2*5;S3;   </t>
  </si>
  <si>
    <t>Montáž světlíků pl.do 2 m2, pevných</t>
  </si>
  <si>
    <t>5;S3;   </t>
  </si>
  <si>
    <t>Světlík PVC s polykarbonát kopulí CFP 120 x 120 cm</t>
  </si>
  <si>
    <t>Malby</t>
  </si>
  <si>
    <t>Malba klih.2x, 1bar.,pačok 2x</t>
  </si>
  <si>
    <t>1,2*4*0,6*5;S4;   </t>
  </si>
  <si>
    <t>Různé dokončovací konstrukce a práce na pozemních stavbách</t>
  </si>
  <si>
    <t>Vyčištění ostatních objektů - střecha</t>
  </si>
  <si>
    <t>Prorážení otvorů a ostatní bourací práce</t>
  </si>
  <si>
    <t>Odstranění KZS EPS F tl. 100 mm s omítkou včetně řezání polystyrenu</t>
  </si>
  <si>
    <t>(4,5+3,3+3,5+3,2+15)*0,15;S7;   </t>
  </si>
  <si>
    <t>Ostatní přesuny hmot</t>
  </si>
  <si>
    <t>Přesun hmot pro opravy a údržbu do výšky 6 m</t>
  </si>
  <si>
    <t>3,4515;viz hmotnost;   </t>
  </si>
  <si>
    <t>Přesuny sutí</t>
  </si>
  <si>
    <t>Svislá doprava vybouraných hmot na výšku do 3,5 m</t>
  </si>
  <si>
    <t>2,05491;viz hmotnost;   </t>
  </si>
  <si>
    <t>Vodorovná doprava suti po suchu do 50 m</t>
  </si>
  <si>
    <t>Nakládání vybour.hmot na doprav.prostředky</t>
  </si>
  <si>
    <t>Odvoz suti a vybour. hmot na skládku do 1 km</t>
  </si>
  <si>
    <t>Příplatek k odvozu za každý další 1 km</t>
  </si>
  <si>
    <t>2,05491*19;viz hmotnost-odvoz celkem do 20km;   </t>
  </si>
  <si>
    <t>Poplatek za skládku suti - asfaltové pásy</t>
  </si>
  <si>
    <t>1,4;viz hmotnost;   </t>
  </si>
  <si>
    <t>Poplatek za skládku suti - polystyren</t>
  </si>
  <si>
    <t>0,364;viz hmotnost;   </t>
  </si>
  <si>
    <t>Poplatek za skládku - stavební suť, ostatní</t>
  </si>
  <si>
    <t>-1,4;asfaltové pásy;   </t>
  </si>
  <si>
    <t>-0,364;polystyren;   </t>
  </si>
  <si>
    <t>vrn</t>
  </si>
  <si>
    <t>Zařízení staveniště</t>
  </si>
  <si>
    <t>Provozní vlivy</t>
  </si>
  <si>
    <t>Technický dozor investora</t>
  </si>
  <si>
    <t>Doba výstavby:</t>
  </si>
  <si>
    <t>Začátek výstavby:</t>
  </si>
  <si>
    <t>Konec výstavby:</t>
  </si>
  <si>
    <t>Zpracováno dne:</t>
  </si>
  <si>
    <t>15.07.2020</t>
  </si>
  <si>
    <t>MJ</t>
  </si>
  <si>
    <t>kus</t>
  </si>
  <si>
    <t>kompl</t>
  </si>
  <si>
    <t>m</t>
  </si>
  <si>
    <t>m2</t>
  </si>
  <si>
    <t>m3</t>
  </si>
  <si>
    <t>t</t>
  </si>
  <si>
    <t>%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</si>
  <si>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</si>
  <si>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</si>
  <si>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</si>
  <si>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</si>
  <si>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</si>
  <si>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</si>
  <si>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</si>
  <si>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Město Litvínov</t>
  </si>
  <si>
    <t>SDP LITVÍNOV, spol. s.r.o.</t>
  </si>
  <si>
    <t> </t>
  </si>
  <si>
    <t>Kamila Možná</t>
  </si>
  <si>
    <t>Náklady (Kč)</t>
  </si>
  <si>
    <t>Dodávka</t>
  </si>
  <si>
    <t>Celkem:</t>
  </si>
  <si>
    <t>Montáž</t>
  </si>
  <si>
    <t>Celkem</t>
  </si>
  <si>
    <t>Cenová</t>
  </si>
  <si>
    <t>soustava</t>
  </si>
  <si>
    <t>RTS 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</si>
  <si>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</si>
  <si>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</si>
  <si>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</si>
  <si>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</si>
  <si>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</si>
  <si>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</si>
  <si>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</si>
  <si>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</si>
  <si>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</si>
  <si>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</si>
  <si>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31_</t>
  </si>
  <si>
    <t>61_</t>
  </si>
  <si>
    <t>62_</t>
  </si>
  <si>
    <t>711_</t>
  </si>
  <si>
    <t>712_</t>
  </si>
  <si>
    <t>713_</t>
  </si>
  <si>
    <t>721_</t>
  </si>
  <si>
    <t>764_</t>
  </si>
  <si>
    <t>767_</t>
  </si>
  <si>
    <t>784_</t>
  </si>
  <si>
    <t>95_</t>
  </si>
  <si>
    <t>97_</t>
  </si>
  <si>
    <t>H99_</t>
  </si>
  <si>
    <t>S_</t>
  </si>
  <si>
    <t>012VD_</t>
  </si>
  <si>
    <t>3_</t>
  </si>
  <si>
    <t>6_</t>
  </si>
  <si>
    <t>71_</t>
  </si>
  <si>
    <t>72_</t>
  </si>
  <si>
    <t>76_</t>
  </si>
  <si>
    <t>78_</t>
  </si>
  <si>
    <t>9_</t>
  </si>
  <si>
    <t>_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</si>
  <si>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</si>
  <si>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</si>
  <si>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</si>
  <si>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</si>
  <si>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</si>
  <si>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</si>
  <si>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</si>
  <si>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</si>
  <si>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</si>
  <si>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</si>
  <si>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</si>
  <si>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</si>
  <si>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</si>
  <si>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</si>
  <si>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</si>
  <si>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</si>
  <si>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</si>
  <si>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</si>
  <si>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</si>
  <si>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</si>
  <si>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</si>
  <si>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</si>
  <si>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</si>
  <si>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</si>
  <si>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</si>
  <si>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</si>
  <si>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</si>
  <si>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</si>
  <si>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</si>
  <si>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</si>
  <si>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</si>
  <si>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Územní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</si>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</sst>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fonts count="15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63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8" fillId="2" borderId="3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11" fillId="3" borderId="17" xfId="0" applyNumberFormat="1" applyFont="1" applyFill="1" applyBorder="1" applyAlignment="1" applyProtection="1">
      <alignment horizontal="center" vertical="center"/>
      <protection/>
    </xf>
    <xf numFmtId="49" fontId="12" fillId="0" borderId="18" xfId="0" applyNumberFormat="1" applyFont="1" applyFill="1" applyBorder="1" applyAlignment="1" applyProtection="1">
      <alignment horizontal="left" vertical="center"/>
      <protection/>
    </xf>
    <xf numFmtId="49" fontId="12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" fontId="13" fillId="0" borderId="17" xfId="0" applyNumberFormat="1" applyFont="1" applyFill="1" applyBorder="1" applyAlignment="1" applyProtection="1">
      <alignment horizontal="right" vertical="center"/>
      <protection/>
    </xf>
    <xf numFmtId="49" fontId="13" fillId="0" borderId="17" xfId="0" applyNumberFormat="1" applyFont="1" applyFill="1" applyBorder="1" applyAlignment="1" applyProtection="1">
      <alignment horizontal="right" vertical="center"/>
      <protection/>
    </xf>
    <xf numFmtId="4" fontId="13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2" fillId="3" borderId="26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10" fillId="0" borderId="36" xfId="0" applyNumberFormat="1" applyFont="1" applyFill="1" applyBorder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 applyProtection="1">
      <alignment horizontal="center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26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26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26" xfId="0" applyNumberFormat="1" applyFont="1" applyFill="1" applyBorder="1" applyAlignment="1" applyProtection="1">
      <alignment horizontal="left" vertical="center"/>
      <protection/>
    </xf>
    <xf numFmtId="49" fontId="12" fillId="3" borderId="25" xfId="0" applyNumberFormat="1" applyFont="1" applyFill="1" applyBorder="1" applyAlignment="1" applyProtection="1">
      <alignment horizontal="left" vertical="center"/>
      <protection/>
    </xf>
    <xf numFmtId="0" fontId="12" fillId="3" borderId="36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39" xfId="0" applyNumberFormat="1" applyFont="1" applyFill="1" applyBorder="1" applyAlignment="1" applyProtection="1">
      <alignment horizontal="left" vertical="center"/>
      <protection/>
    </xf>
    <xf numFmtId="49" fontId="13" fillId="0" borderId="40" xfId="0" applyNumberFormat="1" applyFont="1" applyFill="1" applyBorder="1" applyAlignment="1" applyProtection="1">
      <alignment horizontal="left" vertical="center"/>
      <protection/>
    </xf>
    <xf numFmtId="0" fontId="13" fillId="0" borderId="29" xfId="0" applyNumberFormat="1" applyFont="1" applyFill="1" applyBorder="1" applyAlignment="1" applyProtection="1">
      <alignment horizontal="left" vertical="center"/>
      <protection/>
    </xf>
    <xf numFmtId="0" fontId="13" fillId="0" borderId="4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41"/>
  <sheetViews>
    <sheetView tabSelected="1" workbookViewId="0" topLeftCell="A1">
      <pane ySplit="11" topLeftCell="A12" activePane="bottomLeft" state="frozen"/>
      <selection pane="bottomLeft" activeCell="A1" sqref="A1:L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60.8515625" style="0" customWidth="1"/>
    <col min="6" max="6" width="5.851562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customWidth="1"/>
    <col min="25" max="62" width="12.140625" style="0" hidden="1" customWidth="1"/>
  </cols>
  <sheetData>
    <row r="1" spans="1:12" ht="72.9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3" ht="12.75">
      <c r="A2" s="58" t="s">
        <v>1</v>
      </c>
      <c r="B2" s="59"/>
      <c r="C2" s="62" t="s">
        <v>123</v>
      </c>
      <c r="D2" s="64" t="s">
        <v>228</v>
      </c>
      <c r="E2" s="59"/>
      <c r="F2" s="64" t="s">
        <v>6</v>
      </c>
      <c r="G2" s="59"/>
      <c r="H2" s="65" t="s">
        <v>242</v>
      </c>
      <c r="I2" s="65" t="s">
        <v>248</v>
      </c>
      <c r="J2" s="59"/>
      <c r="K2" s="59"/>
      <c r="L2" s="66"/>
      <c r="M2" s="31"/>
    </row>
    <row r="3" spans="1:13" ht="12.75">
      <c r="A3" s="60"/>
      <c r="B3" s="61"/>
      <c r="C3" s="63"/>
      <c r="D3" s="61"/>
      <c r="E3" s="61"/>
      <c r="F3" s="61"/>
      <c r="G3" s="61"/>
      <c r="H3" s="61"/>
      <c r="I3" s="61"/>
      <c r="J3" s="61"/>
      <c r="K3" s="61"/>
      <c r="L3" s="67"/>
      <c r="M3" s="31"/>
    </row>
    <row r="4" spans="1:13" ht="12.75">
      <c r="A4" s="68" t="s">
        <v>2</v>
      </c>
      <c r="B4" s="61"/>
      <c r="C4" s="69" t="s">
        <v>124</v>
      </c>
      <c r="D4" s="70" t="s">
        <v>229</v>
      </c>
      <c r="E4" s="61"/>
      <c r="F4" s="70" t="s">
        <v>6</v>
      </c>
      <c r="G4" s="61"/>
      <c r="H4" s="69" t="s">
        <v>243</v>
      </c>
      <c r="I4" s="69" t="s">
        <v>249</v>
      </c>
      <c r="J4" s="61"/>
      <c r="K4" s="61"/>
      <c r="L4" s="67"/>
      <c r="M4" s="31"/>
    </row>
    <row r="5" spans="1:13" ht="12.7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7"/>
      <c r="M5" s="31"/>
    </row>
    <row r="6" spans="1:13" ht="12.75">
      <c r="A6" s="68" t="s">
        <v>3</v>
      </c>
      <c r="B6" s="61"/>
      <c r="C6" s="69" t="s">
        <v>125</v>
      </c>
      <c r="D6" s="70" t="s">
        <v>230</v>
      </c>
      <c r="E6" s="61"/>
      <c r="F6" s="70" t="s">
        <v>6</v>
      </c>
      <c r="G6" s="61"/>
      <c r="H6" s="69" t="s">
        <v>244</v>
      </c>
      <c r="I6" s="70" t="s">
        <v>250</v>
      </c>
      <c r="J6" s="61"/>
      <c r="K6" s="61"/>
      <c r="L6" s="67"/>
      <c r="M6" s="31"/>
    </row>
    <row r="7" spans="1:13" ht="12.7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7"/>
      <c r="M7" s="31"/>
    </row>
    <row r="8" spans="1:13" ht="12.75">
      <c r="A8" s="68" t="s">
        <v>4</v>
      </c>
      <c r="B8" s="61"/>
      <c r="C8" s="69" t="s">
        <v>6</v>
      </c>
      <c r="D8" s="70" t="s">
        <v>231</v>
      </c>
      <c r="E8" s="61"/>
      <c r="F8" s="70" t="s">
        <v>232</v>
      </c>
      <c r="G8" s="61"/>
      <c r="H8" s="69" t="s">
        <v>245</v>
      </c>
      <c r="I8" s="69" t="s">
        <v>251</v>
      </c>
      <c r="J8" s="61"/>
      <c r="K8" s="61"/>
      <c r="L8" s="67"/>
      <c r="M8" s="31"/>
    </row>
    <row r="9" spans="1:13" ht="12.7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  <c r="M9" s="31"/>
    </row>
    <row r="10" spans="1:13" ht="12.75">
      <c r="A10" s="1" t="s">
        <v>5</v>
      </c>
      <c r="B10" s="10" t="s">
        <v>58</v>
      </c>
      <c r="C10" s="74" t="s">
        <v>126</v>
      </c>
      <c r="D10" s="75"/>
      <c r="E10" s="76"/>
      <c r="F10" s="10" t="s">
        <v>233</v>
      </c>
      <c r="G10" s="14" t="s">
        <v>241</v>
      </c>
      <c r="H10" s="19" t="s">
        <v>246</v>
      </c>
      <c r="I10" s="77" t="s">
        <v>252</v>
      </c>
      <c r="J10" s="78"/>
      <c r="K10" s="79"/>
      <c r="L10" s="24" t="s">
        <v>257</v>
      </c>
      <c r="M10" s="32"/>
    </row>
    <row r="11" spans="1:62" ht="12.75">
      <c r="A11" s="2" t="s">
        <v>6</v>
      </c>
      <c r="B11" s="11" t="s">
        <v>6</v>
      </c>
      <c r="C11" s="80" t="s">
        <v>127</v>
      </c>
      <c r="D11" s="81"/>
      <c r="E11" s="82"/>
      <c r="F11" s="11" t="s">
        <v>6</v>
      </c>
      <c r="G11" s="11" t="s">
        <v>6</v>
      </c>
      <c r="H11" s="20" t="s">
        <v>247</v>
      </c>
      <c r="I11" s="21" t="s">
        <v>253</v>
      </c>
      <c r="J11" s="22" t="s">
        <v>255</v>
      </c>
      <c r="K11" s="23" t="s">
        <v>256</v>
      </c>
      <c r="L11" s="25" t="s">
        <v>258</v>
      </c>
      <c r="M11" s="32"/>
      <c r="Z11" s="28" t="s">
        <v>260</v>
      </c>
      <c r="AA11" s="28" t="s">
        <v>261</v>
      </c>
      <c r="AB11" s="28" t="s">
        <v>262</v>
      </c>
      <c r="AC11" s="28" t="s">
        <v>263</v>
      </c>
      <c r="AD11" s="28" t="s">
        <v>264</v>
      </c>
      <c r="AE11" s="28" t="s">
        <v>265</v>
      </c>
      <c r="AF11" s="28" t="s">
        <v>266</v>
      </c>
      <c r="AG11" s="28" t="s">
        <v>267</v>
      </c>
      <c r="AH11" s="28" t="s">
        <v>268</v>
      </c>
      <c r="BH11" s="28" t="s">
        <v>293</v>
      </c>
      <c r="BI11" s="28" t="s">
        <v>294</v>
      </c>
      <c r="BJ11" s="28" t="s">
        <v>295</v>
      </c>
    </row>
    <row r="12" spans="1:47" ht="12.75">
      <c r="A12" s="3"/>
      <c r="B12" s="12" t="s">
        <v>59</v>
      </c>
      <c r="C12" s="83" t="s">
        <v>128</v>
      </c>
      <c r="D12" s="84"/>
      <c r="E12" s="84"/>
      <c r="F12" s="3" t="s">
        <v>6</v>
      </c>
      <c r="G12" s="3" t="s">
        <v>6</v>
      </c>
      <c r="H12" s="3" t="s">
        <v>6</v>
      </c>
      <c r="I12" s="35">
        <f>SUM(I13:I18)</f>
        <v>0</v>
      </c>
      <c r="J12" s="35">
        <f>SUM(J13:J18)</f>
        <v>0</v>
      </c>
      <c r="K12" s="35">
        <f>SUM(K13:K18)</f>
        <v>0</v>
      </c>
      <c r="L12" s="26"/>
      <c r="AI12" s="28"/>
      <c r="AS12" s="36">
        <f>SUM(AJ13:AJ18)</f>
        <v>0</v>
      </c>
      <c r="AT12" s="36">
        <f>SUM(AK13:AK18)</f>
        <v>0</v>
      </c>
      <c r="AU12" s="36">
        <f>SUM(AL13:AL18)</f>
        <v>0</v>
      </c>
    </row>
    <row r="13" spans="1:62" ht="12.75">
      <c r="A13" s="4" t="s">
        <v>7</v>
      </c>
      <c r="B13" s="4" t="s">
        <v>60</v>
      </c>
      <c r="C13" s="85" t="s">
        <v>129</v>
      </c>
      <c r="D13" s="86"/>
      <c r="E13" s="86"/>
      <c r="F13" s="4" t="s">
        <v>234</v>
      </c>
      <c r="G13" s="15">
        <v>5</v>
      </c>
      <c r="H13" s="15">
        <v>0</v>
      </c>
      <c r="I13" s="15">
        <f>G13*AO13</f>
        <v>0</v>
      </c>
      <c r="J13" s="15">
        <f>G13*AP13</f>
        <v>0</v>
      </c>
      <c r="K13" s="15">
        <f>G13*H13</f>
        <v>0</v>
      </c>
      <c r="L13" s="27"/>
      <c r="Z13" s="33">
        <f>IF(AQ13="5",BJ13,0)</f>
        <v>0</v>
      </c>
      <c r="AB13" s="33">
        <f>IF(AQ13="1",BH13,0)</f>
        <v>0</v>
      </c>
      <c r="AC13" s="33">
        <f>IF(AQ13="1",BI13,0)</f>
        <v>0</v>
      </c>
      <c r="AD13" s="33">
        <f>IF(AQ13="7",BH13,0)</f>
        <v>0</v>
      </c>
      <c r="AE13" s="33">
        <f>IF(AQ13="7",BI13,0)</f>
        <v>0</v>
      </c>
      <c r="AF13" s="33">
        <f>IF(AQ13="2",BH13,0)</f>
        <v>0</v>
      </c>
      <c r="AG13" s="33">
        <f>IF(AQ13="2",BI13,0)</f>
        <v>0</v>
      </c>
      <c r="AH13" s="33">
        <f>IF(AQ13="0",BJ13,0)</f>
        <v>0</v>
      </c>
      <c r="AI13" s="28"/>
      <c r="AJ13" s="15">
        <f>IF(AN13=0,K13,0)</f>
        <v>0</v>
      </c>
      <c r="AK13" s="15">
        <f>IF(AN13=15,K13,0)</f>
        <v>0</v>
      </c>
      <c r="AL13" s="15">
        <f>IF(AN13=21,K13,0)</f>
        <v>0</v>
      </c>
      <c r="AN13" s="33">
        <v>21</v>
      </c>
      <c r="AO13" s="33">
        <f>H13*0.25</f>
        <v>0</v>
      </c>
      <c r="AP13" s="33">
        <f>H13*(1-0.25)</f>
        <v>0</v>
      </c>
      <c r="AQ13" s="27" t="s">
        <v>7</v>
      </c>
      <c r="AV13" s="33">
        <f>AW13+AX13</f>
        <v>0</v>
      </c>
      <c r="AW13" s="33">
        <f>G13*AO13</f>
        <v>0</v>
      </c>
      <c r="AX13" s="33">
        <f>G13*AP13</f>
        <v>0</v>
      </c>
      <c r="AY13" s="34" t="s">
        <v>269</v>
      </c>
      <c r="AZ13" s="34" t="s">
        <v>269</v>
      </c>
      <c r="BA13" s="28" t="s">
        <v>292</v>
      </c>
      <c r="BC13" s="33">
        <f>AW13+AX13</f>
        <v>0</v>
      </c>
      <c r="BD13" s="33">
        <f>H13/(100-BE13)*100</f>
        <v>0</v>
      </c>
      <c r="BE13" s="33">
        <v>0</v>
      </c>
      <c r="BF13" s="33">
        <f>13</f>
        <v>13</v>
      </c>
      <c r="BH13" s="15">
        <f>G13*AO13</f>
        <v>0</v>
      </c>
      <c r="BI13" s="15">
        <f>G13*AP13</f>
        <v>0</v>
      </c>
      <c r="BJ13" s="15">
        <f>G13*H13</f>
        <v>0</v>
      </c>
    </row>
    <row r="14" spans="3:7" ht="12.75">
      <c r="C14" s="87" t="s">
        <v>130</v>
      </c>
      <c r="D14" s="88"/>
      <c r="E14" s="88"/>
      <c r="G14" s="16">
        <v>5</v>
      </c>
    </row>
    <row r="15" spans="3:7" ht="12.75">
      <c r="C15" s="87" t="s">
        <v>131</v>
      </c>
      <c r="D15" s="88"/>
      <c r="E15" s="88"/>
      <c r="G15" s="16">
        <v>0</v>
      </c>
    </row>
    <row r="16" spans="3:7" ht="12.75">
      <c r="C16" s="87" t="s">
        <v>132</v>
      </c>
      <c r="D16" s="88"/>
      <c r="E16" s="88"/>
      <c r="G16" s="16">
        <v>0</v>
      </c>
    </row>
    <row r="17" spans="3:7" ht="12.75">
      <c r="C17" s="87" t="s">
        <v>133</v>
      </c>
      <c r="D17" s="88"/>
      <c r="E17" s="88"/>
      <c r="G17" s="16">
        <v>0</v>
      </c>
    </row>
    <row r="18" spans="1:62" ht="12.75">
      <c r="A18" s="4" t="s">
        <v>8</v>
      </c>
      <c r="B18" s="4" t="s">
        <v>61</v>
      </c>
      <c r="C18" s="85" t="s">
        <v>134</v>
      </c>
      <c r="D18" s="86"/>
      <c r="E18" s="86"/>
      <c r="F18" s="4" t="s">
        <v>235</v>
      </c>
      <c r="G18" s="15">
        <v>1</v>
      </c>
      <c r="H18" s="15">
        <v>0</v>
      </c>
      <c r="I18" s="15">
        <f>G18*AO18</f>
        <v>0</v>
      </c>
      <c r="J18" s="15">
        <f>G18*AP18</f>
        <v>0</v>
      </c>
      <c r="K18" s="15">
        <f>G18*H18</f>
        <v>0</v>
      </c>
      <c r="L18" s="27"/>
      <c r="Z18" s="33">
        <f>IF(AQ18="5",BJ18,0)</f>
        <v>0</v>
      </c>
      <c r="AB18" s="33">
        <f>IF(AQ18="1",BH18,0)</f>
        <v>0</v>
      </c>
      <c r="AC18" s="33">
        <f>IF(AQ18="1",BI18,0)</f>
        <v>0</v>
      </c>
      <c r="AD18" s="33">
        <f>IF(AQ18="7",BH18,0)</f>
        <v>0</v>
      </c>
      <c r="AE18" s="33">
        <f>IF(AQ18="7",BI18,0)</f>
        <v>0</v>
      </c>
      <c r="AF18" s="33">
        <f>IF(AQ18="2",BH18,0)</f>
        <v>0</v>
      </c>
      <c r="AG18" s="33">
        <f>IF(AQ18="2",BI18,0)</f>
        <v>0</v>
      </c>
      <c r="AH18" s="33">
        <f>IF(AQ18="0",BJ18,0)</f>
        <v>0</v>
      </c>
      <c r="AI18" s="28"/>
      <c r="AJ18" s="15">
        <f>IF(AN18=0,K18,0)</f>
        <v>0</v>
      </c>
      <c r="AK18" s="15">
        <f>IF(AN18=15,K18,0)</f>
        <v>0</v>
      </c>
      <c r="AL18" s="15">
        <f>IF(AN18=21,K18,0)</f>
        <v>0</v>
      </c>
      <c r="AN18" s="33">
        <v>21</v>
      </c>
      <c r="AO18" s="33">
        <f>H18*0</f>
        <v>0</v>
      </c>
      <c r="AP18" s="33">
        <f>H18*(1-0)</f>
        <v>0</v>
      </c>
      <c r="AQ18" s="27" t="s">
        <v>7</v>
      </c>
      <c r="AV18" s="33">
        <f>AW18+AX18</f>
        <v>0</v>
      </c>
      <c r="AW18" s="33">
        <f>G18*AO18</f>
        <v>0</v>
      </c>
      <c r="AX18" s="33">
        <f>G18*AP18</f>
        <v>0</v>
      </c>
      <c r="AY18" s="34" t="s">
        <v>269</v>
      </c>
      <c r="AZ18" s="34" t="s">
        <v>269</v>
      </c>
      <c r="BA18" s="28" t="s">
        <v>292</v>
      </c>
      <c r="BC18" s="33">
        <f>AW18+AX18</f>
        <v>0</v>
      </c>
      <c r="BD18" s="33">
        <f>H18/(100-BE18)*100</f>
        <v>0</v>
      </c>
      <c r="BE18" s="33">
        <v>0</v>
      </c>
      <c r="BF18" s="33">
        <f>18</f>
        <v>18</v>
      </c>
      <c r="BH18" s="15">
        <f>G18*AO18</f>
        <v>0</v>
      </c>
      <c r="BI18" s="15">
        <f>G18*AP18</f>
        <v>0</v>
      </c>
      <c r="BJ18" s="15">
        <f>G18*H18</f>
        <v>0</v>
      </c>
    </row>
    <row r="19" spans="3:7" ht="12.75">
      <c r="C19" s="87" t="s">
        <v>135</v>
      </c>
      <c r="D19" s="88"/>
      <c r="E19" s="88"/>
      <c r="G19" s="16">
        <v>1</v>
      </c>
    </row>
    <row r="20" spans="1:47" ht="12.75">
      <c r="A20" s="5"/>
      <c r="B20" s="13" t="s">
        <v>37</v>
      </c>
      <c r="C20" s="89" t="s">
        <v>136</v>
      </c>
      <c r="D20" s="90"/>
      <c r="E20" s="90"/>
      <c r="F20" s="5" t="s">
        <v>6</v>
      </c>
      <c r="G20" s="5" t="s">
        <v>6</v>
      </c>
      <c r="H20" s="5" t="s">
        <v>6</v>
      </c>
      <c r="I20" s="36">
        <f>SUM(I21:I21)</f>
        <v>0</v>
      </c>
      <c r="J20" s="36">
        <f>SUM(J21:J21)</f>
        <v>0</v>
      </c>
      <c r="K20" s="36">
        <f>SUM(K21:K21)</f>
        <v>0</v>
      </c>
      <c r="L20" s="28"/>
      <c r="AI20" s="28"/>
      <c r="AS20" s="36">
        <f>SUM(AJ21:AJ21)</f>
        <v>0</v>
      </c>
      <c r="AT20" s="36">
        <f>SUM(AK21:AK21)</f>
        <v>0</v>
      </c>
      <c r="AU20" s="36">
        <f>SUM(AL21:AL21)</f>
        <v>0</v>
      </c>
    </row>
    <row r="21" spans="1:62" ht="12.75">
      <c r="A21" s="4" t="s">
        <v>9</v>
      </c>
      <c r="B21" s="4" t="s">
        <v>62</v>
      </c>
      <c r="C21" s="85" t="s">
        <v>137</v>
      </c>
      <c r="D21" s="86"/>
      <c r="E21" s="86"/>
      <c r="F21" s="4" t="s">
        <v>236</v>
      </c>
      <c r="G21" s="15">
        <v>24</v>
      </c>
      <c r="H21" s="15">
        <v>0</v>
      </c>
      <c r="I21" s="15">
        <f>G21*AO21</f>
        <v>0</v>
      </c>
      <c r="J21" s="15">
        <f>G21*AP21</f>
        <v>0</v>
      </c>
      <c r="K21" s="15">
        <f>G21*H21</f>
        <v>0</v>
      </c>
      <c r="L21" s="27" t="s">
        <v>259</v>
      </c>
      <c r="Z21" s="33">
        <f>IF(AQ21="5",BJ21,0)</f>
        <v>0</v>
      </c>
      <c r="AB21" s="33">
        <f>IF(AQ21="1",BH21,0)</f>
        <v>0</v>
      </c>
      <c r="AC21" s="33">
        <f>IF(AQ21="1",BI21,0)</f>
        <v>0</v>
      </c>
      <c r="AD21" s="33">
        <f>IF(AQ21="7",BH21,0)</f>
        <v>0</v>
      </c>
      <c r="AE21" s="33">
        <f>IF(AQ21="7",BI21,0)</f>
        <v>0</v>
      </c>
      <c r="AF21" s="33">
        <f>IF(AQ21="2",BH21,0)</f>
        <v>0</v>
      </c>
      <c r="AG21" s="33">
        <f>IF(AQ21="2",BI21,0)</f>
        <v>0</v>
      </c>
      <c r="AH21" s="33">
        <f>IF(AQ21="0",BJ21,0)</f>
        <v>0</v>
      </c>
      <c r="AI21" s="28"/>
      <c r="AJ21" s="15">
        <f>IF(AN21=0,K21,0)</f>
        <v>0</v>
      </c>
      <c r="AK21" s="15">
        <f>IF(AN21=15,K21,0)</f>
        <v>0</v>
      </c>
      <c r="AL21" s="15">
        <f>IF(AN21=21,K21,0)</f>
        <v>0</v>
      </c>
      <c r="AN21" s="33">
        <v>21</v>
      </c>
      <c r="AO21" s="33">
        <f>H21*0.322457002457002</f>
        <v>0</v>
      </c>
      <c r="AP21" s="33">
        <f>H21*(1-0.322457002457002)</f>
        <v>0</v>
      </c>
      <c r="AQ21" s="27" t="s">
        <v>7</v>
      </c>
      <c r="AV21" s="33">
        <f>AW21+AX21</f>
        <v>0</v>
      </c>
      <c r="AW21" s="33">
        <f>G21*AO21</f>
        <v>0</v>
      </c>
      <c r="AX21" s="33">
        <f>G21*AP21</f>
        <v>0</v>
      </c>
      <c r="AY21" s="34" t="s">
        <v>270</v>
      </c>
      <c r="AZ21" s="34" t="s">
        <v>285</v>
      </c>
      <c r="BA21" s="28" t="s">
        <v>292</v>
      </c>
      <c r="BC21" s="33">
        <f>AW21+AX21</f>
        <v>0</v>
      </c>
      <c r="BD21" s="33">
        <f>H21/(100-BE21)*100</f>
        <v>0</v>
      </c>
      <c r="BE21" s="33">
        <v>0</v>
      </c>
      <c r="BF21" s="33">
        <f>21</f>
        <v>21</v>
      </c>
      <c r="BH21" s="15">
        <f>G21*AO21</f>
        <v>0</v>
      </c>
      <c r="BI21" s="15">
        <f>G21*AP21</f>
        <v>0</v>
      </c>
      <c r="BJ21" s="15">
        <f>G21*H21</f>
        <v>0</v>
      </c>
    </row>
    <row r="22" spans="3:7" ht="12.75">
      <c r="C22" s="87" t="s">
        <v>138</v>
      </c>
      <c r="D22" s="88"/>
      <c r="E22" s="88"/>
      <c r="G22" s="16">
        <v>24</v>
      </c>
    </row>
    <row r="23" spans="1:47" ht="12.75">
      <c r="A23" s="5"/>
      <c r="B23" s="13" t="s">
        <v>63</v>
      </c>
      <c r="C23" s="89" t="s">
        <v>139</v>
      </c>
      <c r="D23" s="90"/>
      <c r="E23" s="90"/>
      <c r="F23" s="5" t="s">
        <v>6</v>
      </c>
      <c r="G23" s="5" t="s">
        <v>6</v>
      </c>
      <c r="H23" s="5" t="s">
        <v>6</v>
      </c>
      <c r="I23" s="36">
        <f>SUM(I24:I24)</f>
        <v>0</v>
      </c>
      <c r="J23" s="36">
        <f>SUM(J24:J24)</f>
        <v>0</v>
      </c>
      <c r="K23" s="36">
        <f>SUM(K24:K24)</f>
        <v>0</v>
      </c>
      <c r="L23" s="28"/>
      <c r="AI23" s="28"/>
      <c r="AS23" s="36">
        <f>SUM(AJ24:AJ24)</f>
        <v>0</v>
      </c>
      <c r="AT23" s="36">
        <f>SUM(AK24:AK24)</f>
        <v>0</v>
      </c>
      <c r="AU23" s="36">
        <f>SUM(AL24:AL24)</f>
        <v>0</v>
      </c>
    </row>
    <row r="24" spans="1:62" ht="12.75">
      <c r="A24" s="4" t="s">
        <v>10</v>
      </c>
      <c r="B24" s="4" t="s">
        <v>64</v>
      </c>
      <c r="C24" s="85" t="s">
        <v>140</v>
      </c>
      <c r="D24" s="86"/>
      <c r="E24" s="86"/>
      <c r="F24" s="4" t="s">
        <v>237</v>
      </c>
      <c r="G24" s="15">
        <v>2.4</v>
      </c>
      <c r="H24" s="15">
        <v>0</v>
      </c>
      <c r="I24" s="15">
        <f>G24*AO24</f>
        <v>0</v>
      </c>
      <c r="J24" s="15">
        <f>G24*AP24</f>
        <v>0</v>
      </c>
      <c r="K24" s="15">
        <f>G24*H24</f>
        <v>0</v>
      </c>
      <c r="L24" s="27" t="s">
        <v>259</v>
      </c>
      <c r="Z24" s="33">
        <f>IF(AQ24="5",BJ24,0)</f>
        <v>0</v>
      </c>
      <c r="AB24" s="33">
        <f>IF(AQ24="1",BH24,0)</f>
        <v>0</v>
      </c>
      <c r="AC24" s="33">
        <f>IF(AQ24="1",BI24,0)</f>
        <v>0</v>
      </c>
      <c r="AD24" s="33">
        <f>IF(AQ24="7",BH24,0)</f>
        <v>0</v>
      </c>
      <c r="AE24" s="33">
        <f>IF(AQ24="7",BI24,0)</f>
        <v>0</v>
      </c>
      <c r="AF24" s="33">
        <f>IF(AQ24="2",BH24,0)</f>
        <v>0</v>
      </c>
      <c r="AG24" s="33">
        <f>IF(AQ24="2",BI24,0)</f>
        <v>0</v>
      </c>
      <c r="AH24" s="33">
        <f>IF(AQ24="0",BJ24,0)</f>
        <v>0</v>
      </c>
      <c r="AI24" s="28"/>
      <c r="AJ24" s="15">
        <f>IF(AN24=0,K24,0)</f>
        <v>0</v>
      </c>
      <c r="AK24" s="15">
        <f>IF(AN24=15,K24,0)</f>
        <v>0</v>
      </c>
      <c r="AL24" s="15">
        <f>IF(AN24=21,K24,0)</f>
        <v>0</v>
      </c>
      <c r="AN24" s="33">
        <v>21</v>
      </c>
      <c r="AO24" s="33">
        <f>H24*0.10212389380531</f>
        <v>0</v>
      </c>
      <c r="AP24" s="33">
        <f>H24*(1-0.10212389380531)</f>
        <v>0</v>
      </c>
      <c r="AQ24" s="27" t="s">
        <v>7</v>
      </c>
      <c r="AV24" s="33">
        <f>AW24+AX24</f>
        <v>0</v>
      </c>
      <c r="AW24" s="33">
        <f>G24*AO24</f>
        <v>0</v>
      </c>
      <c r="AX24" s="33">
        <f>G24*AP24</f>
        <v>0</v>
      </c>
      <c r="AY24" s="34" t="s">
        <v>271</v>
      </c>
      <c r="AZ24" s="34" t="s">
        <v>286</v>
      </c>
      <c r="BA24" s="28" t="s">
        <v>292</v>
      </c>
      <c r="BC24" s="33">
        <f>AW24+AX24</f>
        <v>0</v>
      </c>
      <c r="BD24" s="33">
        <f>H24/(100-BE24)*100</f>
        <v>0</v>
      </c>
      <c r="BE24" s="33">
        <v>0</v>
      </c>
      <c r="BF24" s="33">
        <f>24</f>
        <v>24</v>
      </c>
      <c r="BH24" s="15">
        <f>G24*AO24</f>
        <v>0</v>
      </c>
      <c r="BI24" s="15">
        <f>G24*AP24</f>
        <v>0</v>
      </c>
      <c r="BJ24" s="15">
        <f>G24*H24</f>
        <v>0</v>
      </c>
    </row>
    <row r="25" spans="3:7" ht="12.75">
      <c r="C25" s="87" t="s">
        <v>141</v>
      </c>
      <c r="D25" s="88"/>
      <c r="E25" s="88"/>
      <c r="G25" s="16">
        <v>2.4</v>
      </c>
    </row>
    <row r="26" spans="1:47" ht="12.75">
      <c r="A26" s="5"/>
      <c r="B26" s="13" t="s">
        <v>65</v>
      </c>
      <c r="C26" s="89" t="s">
        <v>142</v>
      </c>
      <c r="D26" s="90"/>
      <c r="E26" s="90"/>
      <c r="F26" s="5" t="s">
        <v>6</v>
      </c>
      <c r="G26" s="5" t="s">
        <v>6</v>
      </c>
      <c r="H26" s="5" t="s">
        <v>6</v>
      </c>
      <c r="I26" s="36">
        <f>SUM(I27:I27)</f>
        <v>0</v>
      </c>
      <c r="J26" s="36">
        <f>SUM(J27:J27)</f>
        <v>0</v>
      </c>
      <c r="K26" s="36">
        <f>SUM(K27:K27)</f>
        <v>0</v>
      </c>
      <c r="L26" s="28"/>
      <c r="AI26" s="28"/>
      <c r="AS26" s="36">
        <f>SUM(AJ27:AJ27)</f>
        <v>0</v>
      </c>
      <c r="AT26" s="36">
        <f>SUM(AK27:AK27)</f>
        <v>0</v>
      </c>
      <c r="AU26" s="36">
        <f>SUM(AL27:AL27)</f>
        <v>0</v>
      </c>
    </row>
    <row r="27" spans="1:62" ht="12.75">
      <c r="A27" s="4" t="s">
        <v>11</v>
      </c>
      <c r="B27" s="4" t="s">
        <v>66</v>
      </c>
      <c r="C27" s="85" t="s">
        <v>143</v>
      </c>
      <c r="D27" s="86"/>
      <c r="E27" s="86"/>
      <c r="F27" s="4" t="s">
        <v>236</v>
      </c>
      <c r="G27" s="15">
        <v>32.45</v>
      </c>
      <c r="H27" s="15">
        <v>0</v>
      </c>
      <c r="I27" s="15">
        <f>G27*AO27</f>
        <v>0</v>
      </c>
      <c r="J27" s="15">
        <f>G27*AP27</f>
        <v>0</v>
      </c>
      <c r="K27" s="15">
        <f>G27*H27</f>
        <v>0</v>
      </c>
      <c r="L27" s="27" t="s">
        <v>259</v>
      </c>
      <c r="Z27" s="33">
        <f>IF(AQ27="5",BJ27,0)</f>
        <v>0</v>
      </c>
      <c r="AB27" s="33">
        <f>IF(AQ27="1",BH27,0)</f>
        <v>0</v>
      </c>
      <c r="AC27" s="33">
        <f>IF(AQ27="1",BI27,0)</f>
        <v>0</v>
      </c>
      <c r="AD27" s="33">
        <f>IF(AQ27="7",BH27,0)</f>
        <v>0</v>
      </c>
      <c r="AE27" s="33">
        <f>IF(AQ27="7",BI27,0)</f>
        <v>0</v>
      </c>
      <c r="AF27" s="33">
        <f>IF(AQ27="2",BH27,0)</f>
        <v>0</v>
      </c>
      <c r="AG27" s="33">
        <f>IF(AQ27="2",BI27,0)</f>
        <v>0</v>
      </c>
      <c r="AH27" s="33">
        <f>IF(AQ27="0",BJ27,0)</f>
        <v>0</v>
      </c>
      <c r="AI27" s="28"/>
      <c r="AJ27" s="15">
        <f>IF(AN27=0,K27,0)</f>
        <v>0</v>
      </c>
      <c r="AK27" s="15">
        <f>IF(AN27=15,K27,0)</f>
        <v>0</v>
      </c>
      <c r="AL27" s="15">
        <f>IF(AN27=21,K27,0)</f>
        <v>0</v>
      </c>
      <c r="AN27" s="33">
        <v>21</v>
      </c>
      <c r="AO27" s="33">
        <f>H27*0.541327305384899</f>
        <v>0</v>
      </c>
      <c r="AP27" s="33">
        <f>H27*(1-0.541327305384899)</f>
        <v>0</v>
      </c>
      <c r="AQ27" s="27" t="s">
        <v>7</v>
      </c>
      <c r="AV27" s="33">
        <f>AW27+AX27</f>
        <v>0</v>
      </c>
      <c r="AW27" s="33">
        <f>G27*AO27</f>
        <v>0</v>
      </c>
      <c r="AX27" s="33">
        <f>G27*AP27</f>
        <v>0</v>
      </c>
      <c r="AY27" s="34" t="s">
        <v>272</v>
      </c>
      <c r="AZ27" s="34" t="s">
        <v>286</v>
      </c>
      <c r="BA27" s="28" t="s">
        <v>292</v>
      </c>
      <c r="BC27" s="33">
        <f>AW27+AX27</f>
        <v>0</v>
      </c>
      <c r="BD27" s="33">
        <f>H27/(100-BE27)*100</f>
        <v>0</v>
      </c>
      <c r="BE27" s="33">
        <v>0</v>
      </c>
      <c r="BF27" s="33">
        <f>27</f>
        <v>27</v>
      </c>
      <c r="BH27" s="15">
        <f>G27*AO27</f>
        <v>0</v>
      </c>
      <c r="BI27" s="15">
        <f>G27*AP27</f>
        <v>0</v>
      </c>
      <c r="BJ27" s="15">
        <f>G27*H27</f>
        <v>0</v>
      </c>
    </row>
    <row r="28" spans="3:7" ht="12.75">
      <c r="C28" s="87" t="s">
        <v>144</v>
      </c>
      <c r="D28" s="88"/>
      <c r="E28" s="88"/>
      <c r="G28" s="16">
        <v>29.5</v>
      </c>
    </row>
    <row r="29" spans="3:7" ht="12.75">
      <c r="C29" s="87" t="s">
        <v>145</v>
      </c>
      <c r="D29" s="88"/>
      <c r="E29" s="88"/>
      <c r="G29" s="16">
        <v>2.95</v>
      </c>
    </row>
    <row r="30" spans="1:47" ht="12.75">
      <c r="A30" s="5"/>
      <c r="B30" s="13" t="s">
        <v>67</v>
      </c>
      <c r="C30" s="89" t="s">
        <v>146</v>
      </c>
      <c r="D30" s="90"/>
      <c r="E30" s="90"/>
      <c r="F30" s="5" t="s">
        <v>6</v>
      </c>
      <c r="G30" s="5" t="s">
        <v>6</v>
      </c>
      <c r="H30" s="5" t="s">
        <v>6</v>
      </c>
      <c r="I30" s="36">
        <f>SUM(I31:I36)</f>
        <v>0</v>
      </c>
      <c r="J30" s="36">
        <f>SUM(J31:J36)</f>
        <v>0</v>
      </c>
      <c r="K30" s="36">
        <f>SUM(K31:K36)</f>
        <v>0</v>
      </c>
      <c r="L30" s="28"/>
      <c r="AI30" s="28"/>
      <c r="AS30" s="36">
        <f>SUM(AJ31:AJ36)</f>
        <v>0</v>
      </c>
      <c r="AT30" s="36">
        <f>SUM(AK31:AK36)</f>
        <v>0</v>
      </c>
      <c r="AU30" s="36">
        <f>SUM(AL31:AL36)</f>
        <v>0</v>
      </c>
    </row>
    <row r="31" spans="1:62" ht="12.75">
      <c r="A31" s="4" t="s">
        <v>12</v>
      </c>
      <c r="B31" s="4" t="s">
        <v>68</v>
      </c>
      <c r="C31" s="85" t="s">
        <v>147</v>
      </c>
      <c r="D31" s="86"/>
      <c r="E31" s="86"/>
      <c r="F31" s="4" t="s">
        <v>237</v>
      </c>
      <c r="G31" s="15">
        <v>96.25</v>
      </c>
      <c r="H31" s="15">
        <v>0</v>
      </c>
      <c r="I31" s="15">
        <f>G31*AO31</f>
        <v>0</v>
      </c>
      <c r="J31" s="15">
        <f>G31*AP31</f>
        <v>0</v>
      </c>
      <c r="K31" s="15">
        <f>G31*H31</f>
        <v>0</v>
      </c>
      <c r="L31" s="27" t="s">
        <v>259</v>
      </c>
      <c r="Z31" s="33">
        <f>IF(AQ31="5",BJ31,0)</f>
        <v>0</v>
      </c>
      <c r="AB31" s="33">
        <f>IF(AQ31="1",BH31,0)</f>
        <v>0</v>
      </c>
      <c r="AC31" s="33">
        <f>IF(AQ31="1",BI31,0)</f>
        <v>0</v>
      </c>
      <c r="AD31" s="33">
        <f>IF(AQ31="7",BH31,0)</f>
        <v>0</v>
      </c>
      <c r="AE31" s="33">
        <f>IF(AQ31="7",BI31,0)</f>
        <v>0</v>
      </c>
      <c r="AF31" s="33">
        <f>IF(AQ31="2",BH31,0)</f>
        <v>0</v>
      </c>
      <c r="AG31" s="33">
        <f>IF(AQ31="2",BI31,0)</f>
        <v>0</v>
      </c>
      <c r="AH31" s="33">
        <f>IF(AQ31="0",BJ31,0)</f>
        <v>0</v>
      </c>
      <c r="AI31" s="28"/>
      <c r="AJ31" s="15">
        <f>IF(AN31=0,K31,0)</f>
        <v>0</v>
      </c>
      <c r="AK31" s="15">
        <f>IF(AN31=15,K31,0)</f>
        <v>0</v>
      </c>
      <c r="AL31" s="15">
        <f>IF(AN31=21,K31,0)</f>
        <v>0</v>
      </c>
      <c r="AN31" s="33">
        <v>21</v>
      </c>
      <c r="AO31" s="33">
        <f>H31*0.564560374462749</f>
        <v>0</v>
      </c>
      <c r="AP31" s="33">
        <f>H31*(1-0.564560374462749)</f>
        <v>0</v>
      </c>
      <c r="AQ31" s="27" t="s">
        <v>13</v>
      </c>
      <c r="AV31" s="33">
        <f>AW31+AX31</f>
        <v>0</v>
      </c>
      <c r="AW31" s="33">
        <f>G31*AO31</f>
        <v>0</v>
      </c>
      <c r="AX31" s="33">
        <f>G31*AP31</f>
        <v>0</v>
      </c>
      <c r="AY31" s="34" t="s">
        <v>273</v>
      </c>
      <c r="AZ31" s="34" t="s">
        <v>287</v>
      </c>
      <c r="BA31" s="28" t="s">
        <v>292</v>
      </c>
      <c r="BC31" s="33">
        <f>AW31+AX31</f>
        <v>0</v>
      </c>
      <c r="BD31" s="33">
        <f>H31/(100-BE31)*100</f>
        <v>0</v>
      </c>
      <c r="BE31" s="33">
        <v>0</v>
      </c>
      <c r="BF31" s="33">
        <f>31</f>
        <v>31</v>
      </c>
      <c r="BH31" s="15">
        <f>G31*AO31</f>
        <v>0</v>
      </c>
      <c r="BI31" s="15">
        <f>G31*AP31</f>
        <v>0</v>
      </c>
      <c r="BJ31" s="15">
        <f>G31*H31</f>
        <v>0</v>
      </c>
    </row>
    <row r="32" spans="3:7" ht="12.75">
      <c r="C32" s="87" t="s">
        <v>148</v>
      </c>
      <c r="D32" s="88"/>
      <c r="E32" s="88"/>
      <c r="G32" s="16">
        <v>87.5</v>
      </c>
    </row>
    <row r="33" spans="3:7" ht="12.75">
      <c r="C33" s="87" t="s">
        <v>149</v>
      </c>
      <c r="D33" s="88"/>
      <c r="E33" s="88"/>
      <c r="G33" s="16">
        <v>8.75</v>
      </c>
    </row>
    <row r="34" spans="1:62" ht="12.75">
      <c r="A34" s="4" t="s">
        <v>13</v>
      </c>
      <c r="B34" s="4" t="s">
        <v>69</v>
      </c>
      <c r="C34" s="85" t="s">
        <v>150</v>
      </c>
      <c r="D34" s="86"/>
      <c r="E34" s="86"/>
      <c r="F34" s="4" t="s">
        <v>237</v>
      </c>
      <c r="G34" s="15">
        <v>87.5</v>
      </c>
      <c r="H34" s="15">
        <v>0</v>
      </c>
      <c r="I34" s="15">
        <f>G34*AO34</f>
        <v>0</v>
      </c>
      <c r="J34" s="15">
        <f>G34*AP34</f>
        <v>0</v>
      </c>
      <c r="K34" s="15">
        <f>G34*H34</f>
        <v>0</v>
      </c>
      <c r="L34" s="27" t="s">
        <v>259</v>
      </c>
      <c r="Z34" s="33">
        <f>IF(AQ34="5",BJ34,0)</f>
        <v>0</v>
      </c>
      <c r="AB34" s="33">
        <f>IF(AQ34="1",BH34,0)</f>
        <v>0</v>
      </c>
      <c r="AC34" s="33">
        <f>IF(AQ34="1",BI34,0)</f>
        <v>0</v>
      </c>
      <c r="AD34" s="33">
        <f>IF(AQ34="7",BH34,0)</f>
        <v>0</v>
      </c>
      <c r="AE34" s="33">
        <f>IF(AQ34="7",BI34,0)</f>
        <v>0</v>
      </c>
      <c r="AF34" s="33">
        <f>IF(AQ34="2",BH34,0)</f>
        <v>0</v>
      </c>
      <c r="AG34" s="33">
        <f>IF(AQ34="2",BI34,0)</f>
        <v>0</v>
      </c>
      <c r="AH34" s="33">
        <f>IF(AQ34="0",BJ34,0)</f>
        <v>0</v>
      </c>
      <c r="AI34" s="28"/>
      <c r="AJ34" s="15">
        <f>IF(AN34=0,K34,0)</f>
        <v>0</v>
      </c>
      <c r="AK34" s="15">
        <f>IF(AN34=15,K34,0)</f>
        <v>0</v>
      </c>
      <c r="AL34" s="15">
        <f>IF(AN34=21,K34,0)</f>
        <v>0</v>
      </c>
      <c r="AN34" s="33">
        <v>21</v>
      </c>
      <c r="AO34" s="33">
        <f>H34*0</f>
        <v>0</v>
      </c>
      <c r="AP34" s="33">
        <f>H34*(1-0)</f>
        <v>0</v>
      </c>
      <c r="AQ34" s="27" t="s">
        <v>13</v>
      </c>
      <c r="AV34" s="33">
        <f>AW34+AX34</f>
        <v>0</v>
      </c>
      <c r="AW34" s="33">
        <f>G34*AO34</f>
        <v>0</v>
      </c>
      <c r="AX34" s="33">
        <f>G34*AP34</f>
        <v>0</v>
      </c>
      <c r="AY34" s="34" t="s">
        <v>273</v>
      </c>
      <c r="AZ34" s="34" t="s">
        <v>287</v>
      </c>
      <c r="BA34" s="28" t="s">
        <v>292</v>
      </c>
      <c r="BC34" s="33">
        <f>AW34+AX34</f>
        <v>0</v>
      </c>
      <c r="BD34" s="33">
        <f>H34/(100-BE34)*100</f>
        <v>0</v>
      </c>
      <c r="BE34" s="33">
        <v>0</v>
      </c>
      <c r="BF34" s="33">
        <f>34</f>
        <v>34</v>
      </c>
      <c r="BH34" s="15">
        <f>G34*AO34</f>
        <v>0</v>
      </c>
      <c r="BI34" s="15">
        <f>G34*AP34</f>
        <v>0</v>
      </c>
      <c r="BJ34" s="15">
        <f>G34*H34</f>
        <v>0</v>
      </c>
    </row>
    <row r="35" spans="3:7" ht="12.75">
      <c r="C35" s="87" t="s">
        <v>148</v>
      </c>
      <c r="D35" s="88"/>
      <c r="E35" s="88"/>
      <c r="G35" s="16">
        <v>87.5</v>
      </c>
    </row>
    <row r="36" spans="1:62" ht="12.75">
      <c r="A36" s="6" t="s">
        <v>14</v>
      </c>
      <c r="B36" s="6" t="s">
        <v>70</v>
      </c>
      <c r="C36" s="91" t="s">
        <v>151</v>
      </c>
      <c r="D36" s="92"/>
      <c r="E36" s="92"/>
      <c r="F36" s="6" t="s">
        <v>237</v>
      </c>
      <c r="G36" s="17">
        <v>96.25</v>
      </c>
      <c r="H36" s="17">
        <v>0</v>
      </c>
      <c r="I36" s="17">
        <f>G36*AO36</f>
        <v>0</v>
      </c>
      <c r="J36" s="17">
        <f>G36*AP36</f>
        <v>0</v>
      </c>
      <c r="K36" s="17">
        <f>G36*H36</f>
        <v>0</v>
      </c>
      <c r="L36" s="29" t="s">
        <v>259</v>
      </c>
      <c r="Z36" s="33">
        <f>IF(AQ36="5",BJ36,0)</f>
        <v>0</v>
      </c>
      <c r="AB36" s="33">
        <f>IF(AQ36="1",BH36,0)</f>
        <v>0</v>
      </c>
      <c r="AC36" s="33">
        <f>IF(AQ36="1",BI36,0)</f>
        <v>0</v>
      </c>
      <c r="AD36" s="33">
        <f>IF(AQ36="7",BH36,0)</f>
        <v>0</v>
      </c>
      <c r="AE36" s="33">
        <f>IF(AQ36="7",BI36,0)</f>
        <v>0</v>
      </c>
      <c r="AF36" s="33">
        <f>IF(AQ36="2",BH36,0)</f>
        <v>0</v>
      </c>
      <c r="AG36" s="33">
        <f>IF(AQ36="2",BI36,0)</f>
        <v>0</v>
      </c>
      <c r="AH36" s="33">
        <f>IF(AQ36="0",BJ36,0)</f>
        <v>0</v>
      </c>
      <c r="AI36" s="28"/>
      <c r="AJ36" s="17">
        <f>IF(AN36=0,K36,0)</f>
        <v>0</v>
      </c>
      <c r="AK36" s="17">
        <f>IF(AN36=15,K36,0)</f>
        <v>0</v>
      </c>
      <c r="AL36" s="17">
        <f>IF(AN36=21,K36,0)</f>
        <v>0</v>
      </c>
      <c r="AN36" s="33">
        <v>21</v>
      </c>
      <c r="AO36" s="33">
        <f>H36*1</f>
        <v>0</v>
      </c>
      <c r="AP36" s="33">
        <f>H36*(1-1)</f>
        <v>0</v>
      </c>
      <c r="AQ36" s="29" t="s">
        <v>13</v>
      </c>
      <c r="AV36" s="33">
        <f>AW36+AX36</f>
        <v>0</v>
      </c>
      <c r="AW36" s="33">
        <f>G36*AO36</f>
        <v>0</v>
      </c>
      <c r="AX36" s="33">
        <f>G36*AP36</f>
        <v>0</v>
      </c>
      <c r="AY36" s="34" t="s">
        <v>273</v>
      </c>
      <c r="AZ36" s="34" t="s">
        <v>287</v>
      </c>
      <c r="BA36" s="28" t="s">
        <v>292</v>
      </c>
      <c r="BC36" s="33">
        <f>AW36+AX36</f>
        <v>0</v>
      </c>
      <c r="BD36" s="33">
        <f>H36/(100-BE36)*100</f>
        <v>0</v>
      </c>
      <c r="BE36" s="33">
        <v>0</v>
      </c>
      <c r="BF36" s="33">
        <f>36</f>
        <v>36</v>
      </c>
      <c r="BH36" s="17">
        <f>G36*AO36</f>
        <v>0</v>
      </c>
      <c r="BI36" s="17">
        <f>G36*AP36</f>
        <v>0</v>
      </c>
      <c r="BJ36" s="17">
        <f>G36*H36</f>
        <v>0</v>
      </c>
    </row>
    <row r="37" spans="3:7" ht="12.75">
      <c r="C37" s="87" t="s">
        <v>148</v>
      </c>
      <c r="D37" s="88"/>
      <c r="E37" s="88"/>
      <c r="G37" s="16">
        <v>87.5</v>
      </c>
    </row>
    <row r="38" spans="3:7" ht="12.75">
      <c r="C38" s="87" t="s">
        <v>149</v>
      </c>
      <c r="D38" s="88"/>
      <c r="E38" s="88"/>
      <c r="G38" s="16">
        <v>8.75</v>
      </c>
    </row>
    <row r="39" spans="1:47" ht="12.75">
      <c r="A39" s="5"/>
      <c r="B39" s="13" t="s">
        <v>71</v>
      </c>
      <c r="C39" s="89" t="s">
        <v>152</v>
      </c>
      <c r="D39" s="90"/>
      <c r="E39" s="90"/>
      <c r="F39" s="5" t="s">
        <v>6</v>
      </c>
      <c r="G39" s="5" t="s">
        <v>6</v>
      </c>
      <c r="H39" s="5" t="s">
        <v>6</v>
      </c>
      <c r="I39" s="36">
        <f>SUM(I40:I54)</f>
        <v>0</v>
      </c>
      <c r="J39" s="36">
        <f>SUM(J40:J54)</f>
        <v>0</v>
      </c>
      <c r="K39" s="36">
        <f>SUM(K40:K54)</f>
        <v>0</v>
      </c>
      <c r="L39" s="28"/>
      <c r="AI39" s="28"/>
      <c r="AS39" s="36">
        <f>SUM(AJ40:AJ54)</f>
        <v>0</v>
      </c>
      <c r="AT39" s="36">
        <f>SUM(AK40:AK54)</f>
        <v>0</v>
      </c>
      <c r="AU39" s="36">
        <f>SUM(AL40:AL54)</f>
        <v>0</v>
      </c>
    </row>
    <row r="40" spans="1:62" ht="12.75">
      <c r="A40" s="4" t="s">
        <v>15</v>
      </c>
      <c r="B40" s="4" t="s">
        <v>72</v>
      </c>
      <c r="C40" s="85" t="s">
        <v>153</v>
      </c>
      <c r="D40" s="86"/>
      <c r="E40" s="86"/>
      <c r="F40" s="4" t="s">
        <v>237</v>
      </c>
      <c r="G40" s="15">
        <v>87.5</v>
      </c>
      <c r="H40" s="15">
        <v>0</v>
      </c>
      <c r="I40" s="15">
        <f>G40*AO40</f>
        <v>0</v>
      </c>
      <c r="J40" s="15">
        <f>G40*AP40</f>
        <v>0</v>
      </c>
      <c r="K40" s="15">
        <f>G40*H40</f>
        <v>0</v>
      </c>
      <c r="L40" s="27" t="s">
        <v>259</v>
      </c>
      <c r="Z40" s="33">
        <f>IF(AQ40="5",BJ40,0)</f>
        <v>0</v>
      </c>
      <c r="AB40" s="33">
        <f>IF(AQ40="1",BH40,0)</f>
        <v>0</v>
      </c>
      <c r="AC40" s="33">
        <f>IF(AQ40="1",BI40,0)</f>
        <v>0</v>
      </c>
      <c r="AD40" s="33">
        <f>IF(AQ40="7",BH40,0)</f>
        <v>0</v>
      </c>
      <c r="AE40" s="33">
        <f>IF(AQ40="7",BI40,0)</f>
        <v>0</v>
      </c>
      <c r="AF40" s="33">
        <f>IF(AQ40="2",BH40,0)</f>
        <v>0</v>
      </c>
      <c r="AG40" s="33">
        <f>IF(AQ40="2",BI40,0)</f>
        <v>0</v>
      </c>
      <c r="AH40" s="33">
        <f>IF(AQ40="0",BJ40,0)</f>
        <v>0</v>
      </c>
      <c r="AI40" s="28"/>
      <c r="AJ40" s="15">
        <f>IF(AN40=0,K40,0)</f>
        <v>0</v>
      </c>
      <c r="AK40" s="15">
        <f>IF(AN40=15,K40,0)</f>
        <v>0</v>
      </c>
      <c r="AL40" s="15">
        <f>IF(AN40=21,K40,0)</f>
        <v>0</v>
      </c>
      <c r="AN40" s="33">
        <v>21</v>
      </c>
      <c r="AO40" s="33">
        <f>H40*0</f>
        <v>0</v>
      </c>
      <c r="AP40" s="33">
        <f>H40*(1-0)</f>
        <v>0</v>
      </c>
      <c r="AQ40" s="27" t="s">
        <v>13</v>
      </c>
      <c r="AV40" s="33">
        <f>AW40+AX40</f>
        <v>0</v>
      </c>
      <c r="AW40" s="33">
        <f>G40*AO40</f>
        <v>0</v>
      </c>
      <c r="AX40" s="33">
        <f>G40*AP40</f>
        <v>0</v>
      </c>
      <c r="AY40" s="34" t="s">
        <v>274</v>
      </c>
      <c r="AZ40" s="34" t="s">
        <v>287</v>
      </c>
      <c r="BA40" s="28" t="s">
        <v>292</v>
      </c>
      <c r="BC40" s="33">
        <f>AW40+AX40</f>
        <v>0</v>
      </c>
      <c r="BD40" s="33">
        <f>H40/(100-BE40)*100</f>
        <v>0</v>
      </c>
      <c r="BE40" s="33">
        <v>0</v>
      </c>
      <c r="BF40" s="33">
        <f>40</f>
        <v>40</v>
      </c>
      <c r="BH40" s="15">
        <f>G40*AO40</f>
        <v>0</v>
      </c>
      <c r="BI40" s="15">
        <f>G40*AP40</f>
        <v>0</v>
      </c>
      <c r="BJ40" s="15">
        <f>G40*H40</f>
        <v>0</v>
      </c>
    </row>
    <row r="41" spans="3:7" ht="12.75">
      <c r="C41" s="87" t="s">
        <v>148</v>
      </c>
      <c r="D41" s="88"/>
      <c r="E41" s="88"/>
      <c r="G41" s="16">
        <v>87.5</v>
      </c>
    </row>
    <row r="42" spans="1:62" ht="12.75">
      <c r="A42" s="4" t="s">
        <v>16</v>
      </c>
      <c r="B42" s="4" t="s">
        <v>73</v>
      </c>
      <c r="C42" s="85" t="s">
        <v>154</v>
      </c>
      <c r="D42" s="86"/>
      <c r="E42" s="86"/>
      <c r="F42" s="4" t="s">
        <v>237</v>
      </c>
      <c r="G42" s="15">
        <v>87.5</v>
      </c>
      <c r="H42" s="15">
        <v>0</v>
      </c>
      <c r="I42" s="15">
        <f>G42*AO42</f>
        <v>0</v>
      </c>
      <c r="J42" s="15">
        <f>G42*AP42</f>
        <v>0</v>
      </c>
      <c r="K42" s="15">
        <f>G42*H42</f>
        <v>0</v>
      </c>
      <c r="L42" s="27" t="s">
        <v>259</v>
      </c>
      <c r="Z42" s="33">
        <f>IF(AQ42="5",BJ42,0)</f>
        <v>0</v>
      </c>
      <c r="AB42" s="33">
        <f>IF(AQ42="1",BH42,0)</f>
        <v>0</v>
      </c>
      <c r="AC42" s="33">
        <f>IF(AQ42="1",BI42,0)</f>
        <v>0</v>
      </c>
      <c r="AD42" s="33">
        <f>IF(AQ42="7",BH42,0)</f>
        <v>0</v>
      </c>
      <c r="AE42" s="33">
        <f>IF(AQ42="7",BI42,0)</f>
        <v>0</v>
      </c>
      <c r="AF42" s="33">
        <f>IF(AQ42="2",BH42,0)</f>
        <v>0</v>
      </c>
      <c r="AG42" s="33">
        <f>IF(AQ42="2",BI42,0)</f>
        <v>0</v>
      </c>
      <c r="AH42" s="33">
        <f>IF(AQ42="0",BJ42,0)</f>
        <v>0</v>
      </c>
      <c r="AI42" s="28"/>
      <c r="AJ42" s="15">
        <f>IF(AN42=0,K42,0)</f>
        <v>0</v>
      </c>
      <c r="AK42" s="15">
        <f>IF(AN42=15,K42,0)</f>
        <v>0</v>
      </c>
      <c r="AL42" s="15">
        <f>IF(AN42=21,K42,0)</f>
        <v>0</v>
      </c>
      <c r="AN42" s="33">
        <v>21</v>
      </c>
      <c r="AO42" s="33">
        <f>H42*0</f>
        <v>0</v>
      </c>
      <c r="AP42" s="33">
        <f>H42*(1-0)</f>
        <v>0</v>
      </c>
      <c r="AQ42" s="27" t="s">
        <v>13</v>
      </c>
      <c r="AV42" s="33">
        <f>AW42+AX42</f>
        <v>0</v>
      </c>
      <c r="AW42" s="33">
        <f>G42*AO42</f>
        <v>0</v>
      </c>
      <c r="AX42" s="33">
        <f>G42*AP42</f>
        <v>0</v>
      </c>
      <c r="AY42" s="34" t="s">
        <v>274</v>
      </c>
      <c r="AZ42" s="34" t="s">
        <v>287</v>
      </c>
      <c r="BA42" s="28" t="s">
        <v>292</v>
      </c>
      <c r="BC42" s="33">
        <f>AW42+AX42</f>
        <v>0</v>
      </c>
      <c r="BD42" s="33">
        <f>H42/(100-BE42)*100</f>
        <v>0</v>
      </c>
      <c r="BE42" s="33">
        <v>0</v>
      </c>
      <c r="BF42" s="33">
        <f>42</f>
        <v>42</v>
      </c>
      <c r="BH42" s="15">
        <f>G42*AO42</f>
        <v>0</v>
      </c>
      <c r="BI42" s="15">
        <f>G42*AP42</f>
        <v>0</v>
      </c>
      <c r="BJ42" s="15">
        <f>G42*H42</f>
        <v>0</v>
      </c>
    </row>
    <row r="43" spans="3:7" ht="12.75">
      <c r="C43" s="87" t="s">
        <v>148</v>
      </c>
      <c r="D43" s="88"/>
      <c r="E43" s="88"/>
      <c r="G43" s="16">
        <v>87.5</v>
      </c>
    </row>
    <row r="44" spans="1:62" ht="12.75">
      <c r="A44" s="4" t="s">
        <v>17</v>
      </c>
      <c r="B44" s="4" t="s">
        <v>74</v>
      </c>
      <c r="C44" s="85" t="s">
        <v>155</v>
      </c>
      <c r="D44" s="86"/>
      <c r="E44" s="86"/>
      <c r="F44" s="4" t="s">
        <v>237</v>
      </c>
      <c r="G44" s="15">
        <v>87.5</v>
      </c>
      <c r="H44" s="15">
        <v>0</v>
      </c>
      <c r="I44" s="15">
        <f>G44*AO44</f>
        <v>0</v>
      </c>
      <c r="J44" s="15">
        <f>G44*AP44</f>
        <v>0</v>
      </c>
      <c r="K44" s="15">
        <f>G44*H44</f>
        <v>0</v>
      </c>
      <c r="L44" s="27" t="s">
        <v>259</v>
      </c>
      <c r="Z44" s="33">
        <f>IF(AQ44="5",BJ44,0)</f>
        <v>0</v>
      </c>
      <c r="AB44" s="33">
        <f>IF(AQ44="1",BH44,0)</f>
        <v>0</v>
      </c>
      <c r="AC44" s="33">
        <f>IF(AQ44="1",BI44,0)</f>
        <v>0</v>
      </c>
      <c r="AD44" s="33">
        <f>IF(AQ44="7",BH44,0)</f>
        <v>0</v>
      </c>
      <c r="AE44" s="33">
        <f>IF(AQ44="7",BI44,0)</f>
        <v>0</v>
      </c>
      <c r="AF44" s="33">
        <f>IF(AQ44="2",BH44,0)</f>
        <v>0</v>
      </c>
      <c r="AG44" s="33">
        <f>IF(AQ44="2",BI44,0)</f>
        <v>0</v>
      </c>
      <c r="AH44" s="33">
        <f>IF(AQ44="0",BJ44,0)</f>
        <v>0</v>
      </c>
      <c r="AI44" s="28"/>
      <c r="AJ44" s="15">
        <f>IF(AN44=0,K44,0)</f>
        <v>0</v>
      </c>
      <c r="AK44" s="15">
        <f>IF(AN44=15,K44,0)</f>
        <v>0</v>
      </c>
      <c r="AL44" s="15">
        <f>IF(AN44=21,K44,0)</f>
        <v>0</v>
      </c>
      <c r="AN44" s="33">
        <v>21</v>
      </c>
      <c r="AO44" s="33">
        <f>H44*0.0882027649769585</f>
        <v>0</v>
      </c>
      <c r="AP44" s="33">
        <f>H44*(1-0.0882027649769585)</f>
        <v>0</v>
      </c>
      <c r="AQ44" s="27" t="s">
        <v>13</v>
      </c>
      <c r="AV44" s="33">
        <f>AW44+AX44</f>
        <v>0</v>
      </c>
      <c r="AW44" s="33">
        <f>G44*AO44</f>
        <v>0</v>
      </c>
      <c r="AX44" s="33">
        <f>G44*AP44</f>
        <v>0</v>
      </c>
      <c r="AY44" s="34" t="s">
        <v>274</v>
      </c>
      <c r="AZ44" s="34" t="s">
        <v>287</v>
      </c>
      <c r="BA44" s="28" t="s">
        <v>292</v>
      </c>
      <c r="BC44" s="33">
        <f>AW44+AX44</f>
        <v>0</v>
      </c>
      <c r="BD44" s="33">
        <f>H44/(100-BE44)*100</f>
        <v>0</v>
      </c>
      <c r="BE44" s="33">
        <v>0</v>
      </c>
      <c r="BF44" s="33">
        <f>44</f>
        <v>44</v>
      </c>
      <c r="BH44" s="15">
        <f>G44*AO44</f>
        <v>0</v>
      </c>
      <c r="BI44" s="15">
        <f>G44*AP44</f>
        <v>0</v>
      </c>
      <c r="BJ44" s="15">
        <f>G44*H44</f>
        <v>0</v>
      </c>
    </row>
    <row r="45" spans="3:7" ht="12.75">
      <c r="C45" s="87" t="s">
        <v>148</v>
      </c>
      <c r="D45" s="88"/>
      <c r="E45" s="88"/>
      <c r="G45" s="16">
        <v>87.5</v>
      </c>
    </row>
    <row r="46" spans="1:62" ht="12.75">
      <c r="A46" s="6" t="s">
        <v>18</v>
      </c>
      <c r="B46" s="6" t="s">
        <v>75</v>
      </c>
      <c r="C46" s="91" t="s">
        <v>156</v>
      </c>
      <c r="D46" s="92"/>
      <c r="E46" s="92"/>
      <c r="F46" s="6" t="s">
        <v>237</v>
      </c>
      <c r="G46" s="17">
        <v>100.625</v>
      </c>
      <c r="H46" s="17">
        <v>0</v>
      </c>
      <c r="I46" s="17">
        <f>G46*AO46</f>
        <v>0</v>
      </c>
      <c r="J46" s="17">
        <f>G46*AP46</f>
        <v>0</v>
      </c>
      <c r="K46" s="17">
        <f>G46*H46</f>
        <v>0</v>
      </c>
      <c r="L46" s="29" t="s">
        <v>259</v>
      </c>
      <c r="Z46" s="33">
        <f>IF(AQ46="5",BJ46,0)</f>
        <v>0</v>
      </c>
      <c r="AB46" s="33">
        <f>IF(AQ46="1",BH46,0)</f>
        <v>0</v>
      </c>
      <c r="AC46" s="33">
        <f>IF(AQ46="1",BI46,0)</f>
        <v>0</v>
      </c>
      <c r="AD46" s="33">
        <f>IF(AQ46="7",BH46,0)</f>
        <v>0</v>
      </c>
      <c r="AE46" s="33">
        <f>IF(AQ46="7",BI46,0)</f>
        <v>0</v>
      </c>
      <c r="AF46" s="33">
        <f>IF(AQ46="2",BH46,0)</f>
        <v>0</v>
      </c>
      <c r="AG46" s="33">
        <f>IF(AQ46="2",BI46,0)</f>
        <v>0</v>
      </c>
      <c r="AH46" s="33">
        <f>IF(AQ46="0",BJ46,0)</f>
        <v>0</v>
      </c>
      <c r="AI46" s="28"/>
      <c r="AJ46" s="17">
        <f>IF(AN46=0,K46,0)</f>
        <v>0</v>
      </c>
      <c r="AK46" s="17">
        <f>IF(AN46=15,K46,0)</f>
        <v>0</v>
      </c>
      <c r="AL46" s="17">
        <f>IF(AN46=21,K46,0)</f>
        <v>0</v>
      </c>
      <c r="AN46" s="33">
        <v>21</v>
      </c>
      <c r="AO46" s="33">
        <f>H46*1</f>
        <v>0</v>
      </c>
      <c r="AP46" s="33">
        <f>H46*(1-1)</f>
        <v>0</v>
      </c>
      <c r="AQ46" s="29" t="s">
        <v>13</v>
      </c>
      <c r="AV46" s="33">
        <f>AW46+AX46</f>
        <v>0</v>
      </c>
      <c r="AW46" s="33">
        <f>G46*AO46</f>
        <v>0</v>
      </c>
      <c r="AX46" s="33">
        <f>G46*AP46</f>
        <v>0</v>
      </c>
      <c r="AY46" s="34" t="s">
        <v>274</v>
      </c>
      <c r="AZ46" s="34" t="s">
        <v>287</v>
      </c>
      <c r="BA46" s="28" t="s">
        <v>292</v>
      </c>
      <c r="BC46" s="33">
        <f>AW46+AX46</f>
        <v>0</v>
      </c>
      <c r="BD46" s="33">
        <f>H46/(100-BE46)*100</f>
        <v>0</v>
      </c>
      <c r="BE46" s="33">
        <v>0</v>
      </c>
      <c r="BF46" s="33">
        <f>46</f>
        <v>46</v>
      </c>
      <c r="BH46" s="17">
        <f>G46*AO46</f>
        <v>0</v>
      </c>
      <c r="BI46" s="17">
        <f>G46*AP46</f>
        <v>0</v>
      </c>
      <c r="BJ46" s="17">
        <f>G46*H46</f>
        <v>0</v>
      </c>
    </row>
    <row r="47" spans="3:7" ht="12.75">
      <c r="C47" s="87" t="s">
        <v>148</v>
      </c>
      <c r="D47" s="88"/>
      <c r="E47" s="88"/>
      <c r="G47" s="16">
        <v>87.5</v>
      </c>
    </row>
    <row r="48" spans="3:7" ht="12.75">
      <c r="C48" s="87" t="s">
        <v>157</v>
      </c>
      <c r="D48" s="88"/>
      <c r="E48" s="88"/>
      <c r="G48" s="16">
        <v>13.125</v>
      </c>
    </row>
    <row r="49" spans="1:62" ht="12.75">
      <c r="A49" s="4" t="s">
        <v>19</v>
      </c>
      <c r="B49" s="4" t="s">
        <v>74</v>
      </c>
      <c r="C49" s="85" t="s">
        <v>155</v>
      </c>
      <c r="D49" s="86"/>
      <c r="E49" s="86"/>
      <c r="F49" s="4" t="s">
        <v>237</v>
      </c>
      <c r="G49" s="15">
        <v>87.5</v>
      </c>
      <c r="H49" s="15">
        <v>0</v>
      </c>
      <c r="I49" s="15">
        <f>G49*AO49</f>
        <v>0</v>
      </c>
      <c r="J49" s="15">
        <f>G49*AP49</f>
        <v>0</v>
      </c>
      <c r="K49" s="15">
        <f>G49*H49</f>
        <v>0</v>
      </c>
      <c r="L49" s="27" t="s">
        <v>259</v>
      </c>
      <c r="Z49" s="33">
        <f>IF(AQ49="5",BJ49,0)</f>
        <v>0</v>
      </c>
      <c r="AB49" s="33">
        <f>IF(AQ49="1",BH49,0)</f>
        <v>0</v>
      </c>
      <c r="AC49" s="33">
        <f>IF(AQ49="1",BI49,0)</f>
        <v>0</v>
      </c>
      <c r="AD49" s="33">
        <f>IF(AQ49="7",BH49,0)</f>
        <v>0</v>
      </c>
      <c r="AE49" s="33">
        <f>IF(AQ49="7",BI49,0)</f>
        <v>0</v>
      </c>
      <c r="AF49" s="33">
        <f>IF(AQ49="2",BH49,0)</f>
        <v>0</v>
      </c>
      <c r="AG49" s="33">
        <f>IF(AQ49="2",BI49,0)</f>
        <v>0</v>
      </c>
      <c r="AH49" s="33">
        <f>IF(AQ49="0",BJ49,0)</f>
        <v>0</v>
      </c>
      <c r="AI49" s="28"/>
      <c r="AJ49" s="15">
        <f>IF(AN49=0,K49,0)</f>
        <v>0</v>
      </c>
      <c r="AK49" s="15">
        <f>IF(AN49=15,K49,0)</f>
        <v>0</v>
      </c>
      <c r="AL49" s="15">
        <f>IF(AN49=21,K49,0)</f>
        <v>0</v>
      </c>
      <c r="AN49" s="33">
        <v>21</v>
      </c>
      <c r="AO49" s="33">
        <f>H49*0.0882027649769585</f>
        <v>0</v>
      </c>
      <c r="AP49" s="33">
        <f>H49*(1-0.0882027649769585)</f>
        <v>0</v>
      </c>
      <c r="AQ49" s="27" t="s">
        <v>13</v>
      </c>
      <c r="AV49" s="33">
        <f>AW49+AX49</f>
        <v>0</v>
      </c>
      <c r="AW49" s="33">
        <f>G49*AO49</f>
        <v>0</v>
      </c>
      <c r="AX49" s="33">
        <f>G49*AP49</f>
        <v>0</v>
      </c>
      <c r="AY49" s="34" t="s">
        <v>274</v>
      </c>
      <c r="AZ49" s="34" t="s">
        <v>287</v>
      </c>
      <c r="BA49" s="28" t="s">
        <v>292</v>
      </c>
      <c r="BC49" s="33">
        <f>AW49+AX49</f>
        <v>0</v>
      </c>
      <c r="BD49" s="33">
        <f>H49/(100-BE49)*100</f>
        <v>0</v>
      </c>
      <c r="BE49" s="33">
        <v>0</v>
      </c>
      <c r="BF49" s="33">
        <f>49</f>
        <v>49</v>
      </c>
      <c r="BH49" s="15">
        <f>G49*AO49</f>
        <v>0</v>
      </c>
      <c r="BI49" s="15">
        <f>G49*AP49</f>
        <v>0</v>
      </c>
      <c r="BJ49" s="15">
        <f>G49*H49</f>
        <v>0</v>
      </c>
    </row>
    <row r="50" spans="3:7" ht="12.75">
      <c r="C50" s="87" t="s">
        <v>148</v>
      </c>
      <c r="D50" s="88"/>
      <c r="E50" s="88"/>
      <c r="G50" s="16">
        <v>87.5</v>
      </c>
    </row>
    <row r="51" spans="1:62" ht="12.75">
      <c r="A51" s="6" t="s">
        <v>20</v>
      </c>
      <c r="B51" s="6" t="s">
        <v>76</v>
      </c>
      <c r="C51" s="91" t="s">
        <v>158</v>
      </c>
      <c r="D51" s="92"/>
      <c r="E51" s="92"/>
      <c r="F51" s="6" t="s">
        <v>237</v>
      </c>
      <c r="G51" s="17">
        <v>100.625</v>
      </c>
      <c r="H51" s="17">
        <v>0</v>
      </c>
      <c r="I51" s="17">
        <f>G51*AO51</f>
        <v>0</v>
      </c>
      <c r="J51" s="17">
        <f>G51*AP51</f>
        <v>0</v>
      </c>
      <c r="K51" s="17">
        <f>G51*H51</f>
        <v>0</v>
      </c>
      <c r="L51" s="29" t="s">
        <v>259</v>
      </c>
      <c r="Z51" s="33">
        <f>IF(AQ51="5",BJ51,0)</f>
        <v>0</v>
      </c>
      <c r="AB51" s="33">
        <f>IF(AQ51="1",BH51,0)</f>
        <v>0</v>
      </c>
      <c r="AC51" s="33">
        <f>IF(AQ51="1",BI51,0)</f>
        <v>0</v>
      </c>
      <c r="AD51" s="33">
        <f>IF(AQ51="7",BH51,0)</f>
        <v>0</v>
      </c>
      <c r="AE51" s="33">
        <f>IF(AQ51="7",BI51,0)</f>
        <v>0</v>
      </c>
      <c r="AF51" s="33">
        <f>IF(AQ51="2",BH51,0)</f>
        <v>0</v>
      </c>
      <c r="AG51" s="33">
        <f>IF(AQ51="2",BI51,0)</f>
        <v>0</v>
      </c>
      <c r="AH51" s="33">
        <f>IF(AQ51="0",BJ51,0)</f>
        <v>0</v>
      </c>
      <c r="AI51" s="28"/>
      <c r="AJ51" s="17">
        <f>IF(AN51=0,K51,0)</f>
        <v>0</v>
      </c>
      <c r="AK51" s="17">
        <f>IF(AN51=15,K51,0)</f>
        <v>0</v>
      </c>
      <c r="AL51" s="17">
        <f>IF(AN51=21,K51,0)</f>
        <v>0</v>
      </c>
      <c r="AN51" s="33">
        <v>21</v>
      </c>
      <c r="AO51" s="33">
        <f>H51*1</f>
        <v>0</v>
      </c>
      <c r="AP51" s="33">
        <f>H51*(1-1)</f>
        <v>0</v>
      </c>
      <c r="AQ51" s="29" t="s">
        <v>13</v>
      </c>
      <c r="AV51" s="33">
        <f>AW51+AX51</f>
        <v>0</v>
      </c>
      <c r="AW51" s="33">
        <f>G51*AO51</f>
        <v>0</v>
      </c>
      <c r="AX51" s="33">
        <f>G51*AP51</f>
        <v>0</v>
      </c>
      <c r="AY51" s="34" t="s">
        <v>274</v>
      </c>
      <c r="AZ51" s="34" t="s">
        <v>287</v>
      </c>
      <c r="BA51" s="28" t="s">
        <v>292</v>
      </c>
      <c r="BC51" s="33">
        <f>AW51+AX51</f>
        <v>0</v>
      </c>
      <c r="BD51" s="33">
        <f>H51/(100-BE51)*100</f>
        <v>0</v>
      </c>
      <c r="BE51" s="33">
        <v>0</v>
      </c>
      <c r="BF51" s="33">
        <f>51</f>
        <v>51</v>
      </c>
      <c r="BH51" s="17">
        <f>G51*AO51</f>
        <v>0</v>
      </c>
      <c r="BI51" s="17">
        <f>G51*AP51</f>
        <v>0</v>
      </c>
      <c r="BJ51" s="17">
        <f>G51*H51</f>
        <v>0</v>
      </c>
    </row>
    <row r="52" spans="3:7" ht="12.75">
      <c r="C52" s="87" t="s">
        <v>148</v>
      </c>
      <c r="D52" s="88"/>
      <c r="E52" s="88"/>
      <c r="G52" s="16">
        <v>87.5</v>
      </c>
    </row>
    <row r="53" spans="3:7" ht="12.75">
      <c r="C53" s="87" t="s">
        <v>157</v>
      </c>
      <c r="D53" s="88"/>
      <c r="E53" s="88"/>
      <c r="G53" s="16">
        <v>13.125</v>
      </c>
    </row>
    <row r="54" spans="1:62" ht="12.75">
      <c r="A54" s="4" t="s">
        <v>21</v>
      </c>
      <c r="B54" s="4" t="s">
        <v>77</v>
      </c>
      <c r="C54" s="85" t="s">
        <v>159</v>
      </c>
      <c r="D54" s="86"/>
      <c r="E54" s="86"/>
      <c r="F54" s="4" t="s">
        <v>237</v>
      </c>
      <c r="G54" s="15">
        <v>87.5</v>
      </c>
      <c r="H54" s="15">
        <v>0</v>
      </c>
      <c r="I54" s="15">
        <f>G54*AO54</f>
        <v>0</v>
      </c>
      <c r="J54" s="15">
        <f>G54*AP54</f>
        <v>0</v>
      </c>
      <c r="K54" s="15">
        <f>G54*H54</f>
        <v>0</v>
      </c>
      <c r="L54" s="27"/>
      <c r="Z54" s="33">
        <f>IF(AQ54="5",BJ54,0)</f>
        <v>0</v>
      </c>
      <c r="AB54" s="33">
        <f>IF(AQ54="1",BH54,0)</f>
        <v>0</v>
      </c>
      <c r="AC54" s="33">
        <f>IF(AQ54="1",BI54,0)</f>
        <v>0</v>
      </c>
      <c r="AD54" s="33">
        <f>IF(AQ54="7",BH54,0)</f>
        <v>0</v>
      </c>
      <c r="AE54" s="33">
        <f>IF(AQ54="7",BI54,0)</f>
        <v>0</v>
      </c>
      <c r="AF54" s="33">
        <f>IF(AQ54="2",BH54,0)</f>
        <v>0</v>
      </c>
      <c r="AG54" s="33">
        <f>IF(AQ54="2",BI54,0)</f>
        <v>0</v>
      </c>
      <c r="AH54" s="33">
        <f>IF(AQ54="0",BJ54,0)</f>
        <v>0</v>
      </c>
      <c r="AI54" s="28"/>
      <c r="AJ54" s="15">
        <f>IF(AN54=0,K54,0)</f>
        <v>0</v>
      </c>
      <c r="AK54" s="15">
        <f>IF(AN54=15,K54,0)</f>
        <v>0</v>
      </c>
      <c r="AL54" s="15">
        <f>IF(AN54=21,K54,0)</f>
        <v>0</v>
      </c>
      <c r="AN54" s="33">
        <v>21</v>
      </c>
      <c r="AO54" s="33">
        <f>H54*0.5</f>
        <v>0</v>
      </c>
      <c r="AP54" s="33">
        <f>H54*(1-0.5)</f>
        <v>0</v>
      </c>
      <c r="AQ54" s="27" t="s">
        <v>13</v>
      </c>
      <c r="AV54" s="33">
        <f>AW54+AX54</f>
        <v>0</v>
      </c>
      <c r="AW54" s="33">
        <f>G54*AO54</f>
        <v>0</v>
      </c>
      <c r="AX54" s="33">
        <f>G54*AP54</f>
        <v>0</v>
      </c>
      <c r="AY54" s="34" t="s">
        <v>274</v>
      </c>
      <c r="AZ54" s="34" t="s">
        <v>287</v>
      </c>
      <c r="BA54" s="28" t="s">
        <v>292</v>
      </c>
      <c r="BC54" s="33">
        <f>AW54+AX54</f>
        <v>0</v>
      </c>
      <c r="BD54" s="33">
        <f>H54/(100-BE54)*100</f>
        <v>0</v>
      </c>
      <c r="BE54" s="33">
        <v>0</v>
      </c>
      <c r="BF54" s="33">
        <f>54</f>
        <v>54</v>
      </c>
      <c r="BH54" s="15">
        <f>G54*AO54</f>
        <v>0</v>
      </c>
      <c r="BI54" s="15">
        <f>G54*AP54</f>
        <v>0</v>
      </c>
      <c r="BJ54" s="15">
        <f>G54*H54</f>
        <v>0</v>
      </c>
    </row>
    <row r="55" spans="3:7" ht="12.75">
      <c r="C55" s="87" t="s">
        <v>148</v>
      </c>
      <c r="D55" s="88"/>
      <c r="E55" s="88"/>
      <c r="G55" s="16">
        <v>87.5</v>
      </c>
    </row>
    <row r="56" spans="1:47" ht="12.75">
      <c r="A56" s="5"/>
      <c r="B56" s="13" t="s">
        <v>78</v>
      </c>
      <c r="C56" s="89" t="s">
        <v>160</v>
      </c>
      <c r="D56" s="90"/>
      <c r="E56" s="90"/>
      <c r="F56" s="5" t="s">
        <v>6</v>
      </c>
      <c r="G56" s="5" t="s">
        <v>6</v>
      </c>
      <c r="H56" s="5" t="s">
        <v>6</v>
      </c>
      <c r="I56" s="36">
        <f>SUM(I57:I61)</f>
        <v>0</v>
      </c>
      <c r="J56" s="36">
        <f>SUM(J57:J61)</f>
        <v>0</v>
      </c>
      <c r="K56" s="36">
        <f>SUM(K57:K61)</f>
        <v>0</v>
      </c>
      <c r="L56" s="28"/>
      <c r="AI56" s="28"/>
      <c r="AS56" s="36">
        <f>SUM(AJ57:AJ61)</f>
        <v>0</v>
      </c>
      <c r="AT56" s="36">
        <f>SUM(AK57:AK61)</f>
        <v>0</v>
      </c>
      <c r="AU56" s="36">
        <f>SUM(AL57:AL61)</f>
        <v>0</v>
      </c>
    </row>
    <row r="57" spans="1:62" ht="12.75">
      <c r="A57" s="4" t="s">
        <v>22</v>
      </c>
      <c r="B57" s="4" t="s">
        <v>79</v>
      </c>
      <c r="C57" s="85" t="s">
        <v>161</v>
      </c>
      <c r="D57" s="86"/>
      <c r="E57" s="86"/>
      <c r="F57" s="4" t="s">
        <v>237</v>
      </c>
      <c r="G57" s="15">
        <v>87.5</v>
      </c>
      <c r="H57" s="15">
        <v>0</v>
      </c>
      <c r="I57" s="15">
        <f>G57*AO57</f>
        <v>0</v>
      </c>
      <c r="J57" s="15">
        <f>G57*AP57</f>
        <v>0</v>
      </c>
      <c r="K57" s="15">
        <f>G57*H57</f>
        <v>0</v>
      </c>
      <c r="L57" s="27" t="s">
        <v>259</v>
      </c>
      <c r="Z57" s="33">
        <f>IF(AQ57="5",BJ57,0)</f>
        <v>0</v>
      </c>
      <c r="AB57" s="33">
        <f>IF(AQ57="1",BH57,0)</f>
        <v>0</v>
      </c>
      <c r="AC57" s="33">
        <f>IF(AQ57="1",BI57,0)</f>
        <v>0</v>
      </c>
      <c r="AD57" s="33">
        <f>IF(AQ57="7",BH57,0)</f>
        <v>0</v>
      </c>
      <c r="AE57" s="33">
        <f>IF(AQ57="7",BI57,0)</f>
        <v>0</v>
      </c>
      <c r="AF57" s="33">
        <f>IF(AQ57="2",BH57,0)</f>
        <v>0</v>
      </c>
      <c r="AG57" s="33">
        <f>IF(AQ57="2",BI57,0)</f>
        <v>0</v>
      </c>
      <c r="AH57" s="33">
        <f>IF(AQ57="0",BJ57,0)</f>
        <v>0</v>
      </c>
      <c r="AI57" s="28"/>
      <c r="AJ57" s="15">
        <f>IF(AN57=0,K57,0)</f>
        <v>0</v>
      </c>
      <c r="AK57" s="15">
        <f>IF(AN57=15,K57,0)</f>
        <v>0</v>
      </c>
      <c r="AL57" s="15">
        <f>IF(AN57=21,K57,0)</f>
        <v>0</v>
      </c>
      <c r="AN57" s="33">
        <v>21</v>
      </c>
      <c r="AO57" s="33">
        <f>H57*0</f>
        <v>0</v>
      </c>
      <c r="AP57" s="33">
        <f>H57*(1-0)</f>
        <v>0</v>
      </c>
      <c r="AQ57" s="27" t="s">
        <v>13</v>
      </c>
      <c r="AV57" s="33">
        <f>AW57+AX57</f>
        <v>0</v>
      </c>
      <c r="AW57" s="33">
        <f>G57*AO57</f>
        <v>0</v>
      </c>
      <c r="AX57" s="33">
        <f>G57*AP57</f>
        <v>0</v>
      </c>
      <c r="AY57" s="34" t="s">
        <v>275</v>
      </c>
      <c r="AZ57" s="34" t="s">
        <v>287</v>
      </c>
      <c r="BA57" s="28" t="s">
        <v>292</v>
      </c>
      <c r="BC57" s="33">
        <f>AW57+AX57</f>
        <v>0</v>
      </c>
      <c r="BD57" s="33">
        <f>H57/(100-BE57)*100</f>
        <v>0</v>
      </c>
      <c r="BE57" s="33">
        <v>0</v>
      </c>
      <c r="BF57" s="33">
        <f>57</f>
        <v>57</v>
      </c>
      <c r="BH57" s="15">
        <f>G57*AO57</f>
        <v>0</v>
      </c>
      <c r="BI57" s="15">
        <f>G57*AP57</f>
        <v>0</v>
      </c>
      <c r="BJ57" s="15">
        <f>G57*H57</f>
        <v>0</v>
      </c>
    </row>
    <row r="58" spans="3:7" ht="12.75">
      <c r="C58" s="87" t="s">
        <v>148</v>
      </c>
      <c r="D58" s="88"/>
      <c r="E58" s="88"/>
      <c r="G58" s="16">
        <v>87.5</v>
      </c>
    </row>
    <row r="59" spans="1:62" ht="12.75">
      <c r="A59" s="4" t="s">
        <v>23</v>
      </c>
      <c r="B59" s="4" t="s">
        <v>80</v>
      </c>
      <c r="C59" s="85" t="s">
        <v>162</v>
      </c>
      <c r="D59" s="86"/>
      <c r="E59" s="86"/>
      <c r="F59" s="4" t="s">
        <v>237</v>
      </c>
      <c r="G59" s="15">
        <v>87.5</v>
      </c>
      <c r="H59" s="15">
        <v>0</v>
      </c>
      <c r="I59" s="15">
        <f>G59*AO59</f>
        <v>0</v>
      </c>
      <c r="J59" s="15">
        <f>G59*AP59</f>
        <v>0</v>
      </c>
      <c r="K59" s="15">
        <f>G59*H59</f>
        <v>0</v>
      </c>
      <c r="L59" s="27" t="s">
        <v>259</v>
      </c>
      <c r="Z59" s="33">
        <f>IF(AQ59="5",BJ59,0)</f>
        <v>0</v>
      </c>
      <c r="AB59" s="33">
        <f>IF(AQ59="1",BH59,0)</f>
        <v>0</v>
      </c>
      <c r="AC59" s="33">
        <f>IF(AQ59="1",BI59,0)</f>
        <v>0</v>
      </c>
      <c r="AD59" s="33">
        <f>IF(AQ59="7",BH59,0)</f>
        <v>0</v>
      </c>
      <c r="AE59" s="33">
        <f>IF(AQ59="7",BI59,0)</f>
        <v>0</v>
      </c>
      <c r="AF59" s="33">
        <f>IF(AQ59="2",BH59,0)</f>
        <v>0</v>
      </c>
      <c r="AG59" s="33">
        <f>IF(AQ59="2",BI59,0)</f>
        <v>0</v>
      </c>
      <c r="AH59" s="33">
        <f>IF(AQ59="0",BJ59,0)</f>
        <v>0</v>
      </c>
      <c r="AI59" s="28"/>
      <c r="AJ59" s="15">
        <f>IF(AN59=0,K59,0)</f>
        <v>0</v>
      </c>
      <c r="AK59" s="15">
        <f>IF(AN59=15,K59,0)</f>
        <v>0</v>
      </c>
      <c r="AL59" s="15">
        <f>IF(AN59=21,K59,0)</f>
        <v>0</v>
      </c>
      <c r="AN59" s="33">
        <v>21</v>
      </c>
      <c r="AO59" s="33">
        <f>H59*0.324913093769308</f>
        <v>0</v>
      </c>
      <c r="AP59" s="33">
        <f>H59*(1-0.324913093769308)</f>
        <v>0</v>
      </c>
      <c r="AQ59" s="27" t="s">
        <v>13</v>
      </c>
      <c r="AV59" s="33">
        <f>AW59+AX59</f>
        <v>0</v>
      </c>
      <c r="AW59" s="33">
        <f>G59*AO59</f>
        <v>0</v>
      </c>
      <c r="AX59" s="33">
        <f>G59*AP59</f>
        <v>0</v>
      </c>
      <c r="AY59" s="34" t="s">
        <v>275</v>
      </c>
      <c r="AZ59" s="34" t="s">
        <v>287</v>
      </c>
      <c r="BA59" s="28" t="s">
        <v>292</v>
      </c>
      <c r="BC59" s="33">
        <f>AW59+AX59</f>
        <v>0</v>
      </c>
      <c r="BD59" s="33">
        <f>H59/(100-BE59)*100</f>
        <v>0</v>
      </c>
      <c r="BE59" s="33">
        <v>0</v>
      </c>
      <c r="BF59" s="33">
        <f>59</f>
        <v>59</v>
      </c>
      <c r="BH59" s="15">
        <f>G59*AO59</f>
        <v>0</v>
      </c>
      <c r="BI59" s="15">
        <f>G59*AP59</f>
        <v>0</v>
      </c>
      <c r="BJ59" s="15">
        <f>G59*H59</f>
        <v>0</v>
      </c>
    </row>
    <row r="60" spans="3:7" ht="12.75">
      <c r="C60" s="87" t="s">
        <v>148</v>
      </c>
      <c r="D60" s="88"/>
      <c r="E60" s="88"/>
      <c r="G60" s="16">
        <v>87.5</v>
      </c>
    </row>
    <row r="61" spans="1:62" ht="12.75">
      <c r="A61" s="6" t="s">
        <v>24</v>
      </c>
      <c r="B61" s="6" t="s">
        <v>81</v>
      </c>
      <c r="C61" s="91" t="s">
        <v>163</v>
      </c>
      <c r="D61" s="92"/>
      <c r="E61" s="92"/>
      <c r="F61" s="6" t="s">
        <v>238</v>
      </c>
      <c r="G61" s="17">
        <v>22.1375</v>
      </c>
      <c r="H61" s="17">
        <v>0</v>
      </c>
      <c r="I61" s="17">
        <f>G61*AO61</f>
        <v>0</v>
      </c>
      <c r="J61" s="17">
        <f>G61*AP61</f>
        <v>0</v>
      </c>
      <c r="K61" s="17">
        <f>G61*H61</f>
        <v>0</v>
      </c>
      <c r="L61" s="29" t="s">
        <v>259</v>
      </c>
      <c r="Z61" s="33">
        <f>IF(AQ61="5",BJ61,0)</f>
        <v>0</v>
      </c>
      <c r="AB61" s="33">
        <f>IF(AQ61="1",BH61,0)</f>
        <v>0</v>
      </c>
      <c r="AC61" s="33">
        <f>IF(AQ61="1",BI61,0)</f>
        <v>0</v>
      </c>
      <c r="AD61" s="33">
        <f>IF(AQ61="7",BH61,0)</f>
        <v>0</v>
      </c>
      <c r="AE61" s="33">
        <f>IF(AQ61="7",BI61,0)</f>
        <v>0</v>
      </c>
      <c r="AF61" s="33">
        <f>IF(AQ61="2",BH61,0)</f>
        <v>0</v>
      </c>
      <c r="AG61" s="33">
        <f>IF(AQ61="2",BI61,0)</f>
        <v>0</v>
      </c>
      <c r="AH61" s="33">
        <f>IF(AQ61="0",BJ61,0)</f>
        <v>0</v>
      </c>
      <c r="AI61" s="28"/>
      <c r="AJ61" s="17">
        <f>IF(AN61=0,K61,0)</f>
        <v>0</v>
      </c>
      <c r="AK61" s="17">
        <f>IF(AN61=15,K61,0)</f>
        <v>0</v>
      </c>
      <c r="AL61" s="17">
        <f>IF(AN61=21,K61,0)</f>
        <v>0</v>
      </c>
      <c r="AN61" s="33">
        <v>21</v>
      </c>
      <c r="AO61" s="33">
        <f>H61*1</f>
        <v>0</v>
      </c>
      <c r="AP61" s="33">
        <f>H61*(1-1)</f>
        <v>0</v>
      </c>
      <c r="AQ61" s="29" t="s">
        <v>13</v>
      </c>
      <c r="AV61" s="33">
        <f>AW61+AX61</f>
        <v>0</v>
      </c>
      <c r="AW61" s="33">
        <f>G61*AO61</f>
        <v>0</v>
      </c>
      <c r="AX61" s="33">
        <f>G61*AP61</f>
        <v>0</v>
      </c>
      <c r="AY61" s="34" t="s">
        <v>275</v>
      </c>
      <c r="AZ61" s="34" t="s">
        <v>287</v>
      </c>
      <c r="BA61" s="28" t="s">
        <v>292</v>
      </c>
      <c r="BC61" s="33">
        <f>AW61+AX61</f>
        <v>0</v>
      </c>
      <c r="BD61" s="33">
        <f>H61/(100-BE61)*100</f>
        <v>0</v>
      </c>
      <c r="BE61" s="33">
        <v>0</v>
      </c>
      <c r="BF61" s="33">
        <f>61</f>
        <v>61</v>
      </c>
      <c r="BH61" s="17">
        <f>G61*AO61</f>
        <v>0</v>
      </c>
      <c r="BI61" s="17">
        <f>G61*AP61</f>
        <v>0</v>
      </c>
      <c r="BJ61" s="17">
        <f>G61*H61</f>
        <v>0</v>
      </c>
    </row>
    <row r="62" spans="3:7" ht="12.75">
      <c r="C62" s="87" t="s">
        <v>164</v>
      </c>
      <c r="D62" s="88"/>
      <c r="E62" s="88"/>
      <c r="G62" s="16">
        <v>19.25</v>
      </c>
    </row>
    <row r="63" spans="3:7" ht="12.75">
      <c r="C63" s="87" t="s">
        <v>165</v>
      </c>
      <c r="D63" s="88"/>
      <c r="E63" s="88"/>
      <c r="G63" s="16">
        <v>2.8875</v>
      </c>
    </row>
    <row r="64" spans="1:47" ht="12.75">
      <c r="A64" s="5"/>
      <c r="B64" s="13" t="s">
        <v>82</v>
      </c>
      <c r="C64" s="89" t="s">
        <v>166</v>
      </c>
      <c r="D64" s="90"/>
      <c r="E64" s="90"/>
      <c r="F64" s="5" t="s">
        <v>6</v>
      </c>
      <c r="G64" s="5" t="s">
        <v>6</v>
      </c>
      <c r="H64" s="5" t="s">
        <v>6</v>
      </c>
      <c r="I64" s="36">
        <f>SUM(I65:I67)</f>
        <v>0</v>
      </c>
      <c r="J64" s="36">
        <f>SUM(J65:J67)</f>
        <v>0</v>
      </c>
      <c r="K64" s="36">
        <f>SUM(K65:K67)</f>
        <v>0</v>
      </c>
      <c r="L64" s="28"/>
      <c r="AI64" s="28"/>
      <c r="AS64" s="36">
        <f>SUM(AJ65:AJ67)</f>
        <v>0</v>
      </c>
      <c r="AT64" s="36">
        <f>SUM(AK65:AK67)</f>
        <v>0</v>
      </c>
      <c r="AU64" s="36">
        <f>SUM(AL65:AL67)</f>
        <v>0</v>
      </c>
    </row>
    <row r="65" spans="1:62" ht="12.75">
      <c r="A65" s="4" t="s">
        <v>25</v>
      </c>
      <c r="B65" s="4" t="s">
        <v>83</v>
      </c>
      <c r="C65" s="85" t="s">
        <v>167</v>
      </c>
      <c r="D65" s="86"/>
      <c r="E65" s="86"/>
      <c r="F65" s="4" t="s">
        <v>234</v>
      </c>
      <c r="G65" s="15">
        <v>1</v>
      </c>
      <c r="H65" s="15">
        <v>0</v>
      </c>
      <c r="I65" s="15">
        <f>G65*AO65</f>
        <v>0</v>
      </c>
      <c r="J65" s="15">
        <f>G65*AP65</f>
        <v>0</v>
      </c>
      <c r="K65" s="15">
        <f>G65*H65</f>
        <v>0</v>
      </c>
      <c r="L65" s="27" t="s">
        <v>259</v>
      </c>
      <c r="Z65" s="33">
        <f>IF(AQ65="5",BJ65,0)</f>
        <v>0</v>
      </c>
      <c r="AB65" s="33">
        <f>IF(AQ65="1",BH65,0)</f>
        <v>0</v>
      </c>
      <c r="AC65" s="33">
        <f>IF(AQ65="1",BI65,0)</f>
        <v>0</v>
      </c>
      <c r="AD65" s="33">
        <f>IF(AQ65="7",BH65,0)</f>
        <v>0</v>
      </c>
      <c r="AE65" s="33">
        <f>IF(AQ65="7",BI65,0)</f>
        <v>0</v>
      </c>
      <c r="AF65" s="33">
        <f>IF(AQ65="2",BH65,0)</f>
        <v>0</v>
      </c>
      <c r="AG65" s="33">
        <f>IF(AQ65="2",BI65,0)</f>
        <v>0</v>
      </c>
      <c r="AH65" s="33">
        <f>IF(AQ65="0",BJ65,0)</f>
        <v>0</v>
      </c>
      <c r="AI65" s="28"/>
      <c r="AJ65" s="15">
        <f>IF(AN65=0,K65,0)</f>
        <v>0</v>
      </c>
      <c r="AK65" s="15">
        <f>IF(AN65=15,K65,0)</f>
        <v>0</v>
      </c>
      <c r="AL65" s="15">
        <f>IF(AN65=21,K65,0)</f>
        <v>0</v>
      </c>
      <c r="AN65" s="33">
        <v>21</v>
      </c>
      <c r="AO65" s="33">
        <f>H65*0</f>
        <v>0</v>
      </c>
      <c r="AP65" s="33">
        <f>H65*(1-0)</f>
        <v>0</v>
      </c>
      <c r="AQ65" s="27" t="s">
        <v>13</v>
      </c>
      <c r="AV65" s="33">
        <f>AW65+AX65</f>
        <v>0</v>
      </c>
      <c r="AW65" s="33">
        <f>G65*AO65</f>
        <v>0</v>
      </c>
      <c r="AX65" s="33">
        <f>G65*AP65</f>
        <v>0</v>
      </c>
      <c r="AY65" s="34" t="s">
        <v>276</v>
      </c>
      <c r="AZ65" s="34" t="s">
        <v>288</v>
      </c>
      <c r="BA65" s="28" t="s">
        <v>292</v>
      </c>
      <c r="BC65" s="33">
        <f>AW65+AX65</f>
        <v>0</v>
      </c>
      <c r="BD65" s="33">
        <f>H65/(100-BE65)*100</f>
        <v>0</v>
      </c>
      <c r="BE65" s="33">
        <v>0</v>
      </c>
      <c r="BF65" s="33">
        <f>65</f>
        <v>65</v>
      </c>
      <c r="BH65" s="15">
        <f>G65*AO65</f>
        <v>0</v>
      </c>
      <c r="BI65" s="15">
        <f>G65*AP65</f>
        <v>0</v>
      </c>
      <c r="BJ65" s="15">
        <f>G65*H65</f>
        <v>0</v>
      </c>
    </row>
    <row r="66" spans="3:7" ht="12.75">
      <c r="C66" s="87" t="s">
        <v>168</v>
      </c>
      <c r="D66" s="88"/>
      <c r="E66" s="88"/>
      <c r="G66" s="16">
        <v>1</v>
      </c>
    </row>
    <row r="67" spans="1:62" ht="12.75">
      <c r="A67" s="4" t="s">
        <v>26</v>
      </c>
      <c r="B67" s="4" t="s">
        <v>84</v>
      </c>
      <c r="C67" s="85" t="s">
        <v>169</v>
      </c>
      <c r="D67" s="86"/>
      <c r="E67" s="86"/>
      <c r="F67" s="4" t="s">
        <v>234</v>
      </c>
      <c r="G67" s="15">
        <v>1</v>
      </c>
      <c r="H67" s="15">
        <v>0</v>
      </c>
      <c r="I67" s="15">
        <f>G67*AO67</f>
        <v>0</v>
      </c>
      <c r="J67" s="15">
        <f>G67*AP67</f>
        <v>0</v>
      </c>
      <c r="K67" s="15">
        <f>G67*H67</f>
        <v>0</v>
      </c>
      <c r="L67" s="27" t="s">
        <v>259</v>
      </c>
      <c r="Z67" s="33">
        <f>IF(AQ67="5",BJ67,0)</f>
        <v>0</v>
      </c>
      <c r="AB67" s="33">
        <f>IF(AQ67="1",BH67,0)</f>
        <v>0</v>
      </c>
      <c r="AC67" s="33">
        <f>IF(AQ67="1",BI67,0)</f>
        <v>0</v>
      </c>
      <c r="AD67" s="33">
        <f>IF(AQ67="7",BH67,0)</f>
        <v>0</v>
      </c>
      <c r="AE67" s="33">
        <f>IF(AQ67="7",BI67,0)</f>
        <v>0</v>
      </c>
      <c r="AF67" s="33">
        <f>IF(AQ67="2",BH67,0)</f>
        <v>0</v>
      </c>
      <c r="AG67" s="33">
        <f>IF(AQ67="2",BI67,0)</f>
        <v>0</v>
      </c>
      <c r="AH67" s="33">
        <f>IF(AQ67="0",BJ67,0)</f>
        <v>0</v>
      </c>
      <c r="AI67" s="28"/>
      <c r="AJ67" s="15">
        <f>IF(AN67=0,K67,0)</f>
        <v>0</v>
      </c>
      <c r="AK67" s="15">
        <f>IF(AN67=15,K67,0)</f>
        <v>0</v>
      </c>
      <c r="AL67" s="15">
        <f>IF(AN67=21,K67,0)</f>
        <v>0</v>
      </c>
      <c r="AN67" s="33">
        <v>21</v>
      </c>
      <c r="AO67" s="33">
        <f>H67*0.896590377113134</f>
        <v>0</v>
      </c>
      <c r="AP67" s="33">
        <f>H67*(1-0.896590377113134)</f>
        <v>0</v>
      </c>
      <c r="AQ67" s="27" t="s">
        <v>13</v>
      </c>
      <c r="AV67" s="33">
        <f>AW67+AX67</f>
        <v>0</v>
      </c>
      <c r="AW67" s="33">
        <f>G67*AO67</f>
        <v>0</v>
      </c>
      <c r="AX67" s="33">
        <f>G67*AP67</f>
        <v>0</v>
      </c>
      <c r="AY67" s="34" t="s">
        <v>276</v>
      </c>
      <c r="AZ67" s="34" t="s">
        <v>288</v>
      </c>
      <c r="BA67" s="28" t="s">
        <v>292</v>
      </c>
      <c r="BC67" s="33">
        <f>AW67+AX67</f>
        <v>0</v>
      </c>
      <c r="BD67" s="33">
        <f>H67/(100-BE67)*100</f>
        <v>0</v>
      </c>
      <c r="BE67" s="33">
        <v>0</v>
      </c>
      <c r="BF67" s="33">
        <f>67</f>
        <v>67</v>
      </c>
      <c r="BH67" s="15">
        <f>G67*AO67</f>
        <v>0</v>
      </c>
      <c r="BI67" s="15">
        <f>G67*AP67</f>
        <v>0</v>
      </c>
      <c r="BJ67" s="15">
        <f>G67*H67</f>
        <v>0</v>
      </c>
    </row>
    <row r="68" spans="3:7" ht="12.75">
      <c r="C68" s="87" t="s">
        <v>168</v>
      </c>
      <c r="D68" s="88"/>
      <c r="E68" s="88"/>
      <c r="G68" s="16">
        <v>1</v>
      </c>
    </row>
    <row r="69" spans="1:47" ht="12.75">
      <c r="A69" s="5"/>
      <c r="B69" s="13" t="s">
        <v>85</v>
      </c>
      <c r="C69" s="89" t="s">
        <v>170</v>
      </c>
      <c r="D69" s="90"/>
      <c r="E69" s="90"/>
      <c r="F69" s="5" t="s">
        <v>6</v>
      </c>
      <c r="G69" s="5" t="s">
        <v>6</v>
      </c>
      <c r="H69" s="5" t="s">
        <v>6</v>
      </c>
      <c r="I69" s="36">
        <f>SUM(I70:I95)</f>
        <v>0</v>
      </c>
      <c r="J69" s="36">
        <f>SUM(J70:J95)</f>
        <v>0</v>
      </c>
      <c r="K69" s="36">
        <f>SUM(K70:K95)</f>
        <v>0</v>
      </c>
      <c r="L69" s="28"/>
      <c r="AI69" s="28"/>
      <c r="AS69" s="36">
        <f>SUM(AJ70:AJ95)</f>
        <v>0</v>
      </c>
      <c r="AT69" s="36">
        <f>SUM(AK70:AK95)</f>
        <v>0</v>
      </c>
      <c r="AU69" s="36">
        <f>SUM(AL70:AL95)</f>
        <v>0</v>
      </c>
    </row>
    <row r="70" spans="1:62" ht="12.75">
      <c r="A70" s="4" t="s">
        <v>27</v>
      </c>
      <c r="B70" s="4" t="s">
        <v>86</v>
      </c>
      <c r="C70" s="85" t="s">
        <v>171</v>
      </c>
      <c r="D70" s="86"/>
      <c r="E70" s="86"/>
      <c r="F70" s="4" t="s">
        <v>236</v>
      </c>
      <c r="G70" s="15">
        <v>6.73</v>
      </c>
      <c r="H70" s="15">
        <v>0</v>
      </c>
      <c r="I70" s="15">
        <f>G70*AO70</f>
        <v>0</v>
      </c>
      <c r="J70" s="15">
        <f>G70*AP70</f>
        <v>0</v>
      </c>
      <c r="K70" s="15">
        <f>G70*H70</f>
        <v>0</v>
      </c>
      <c r="L70" s="27" t="s">
        <v>259</v>
      </c>
      <c r="Z70" s="33">
        <f>IF(AQ70="5",BJ70,0)</f>
        <v>0</v>
      </c>
      <c r="AB70" s="33">
        <f>IF(AQ70="1",BH70,0)</f>
        <v>0</v>
      </c>
      <c r="AC70" s="33">
        <f>IF(AQ70="1",BI70,0)</f>
        <v>0</v>
      </c>
      <c r="AD70" s="33">
        <f>IF(AQ70="7",BH70,0)</f>
        <v>0</v>
      </c>
      <c r="AE70" s="33">
        <f>IF(AQ70="7",BI70,0)</f>
        <v>0</v>
      </c>
      <c r="AF70" s="33">
        <f>IF(AQ70="2",BH70,0)</f>
        <v>0</v>
      </c>
      <c r="AG70" s="33">
        <f>IF(AQ70="2",BI70,0)</f>
        <v>0</v>
      </c>
      <c r="AH70" s="33">
        <f>IF(AQ70="0",BJ70,0)</f>
        <v>0</v>
      </c>
      <c r="AI70" s="28"/>
      <c r="AJ70" s="15">
        <f>IF(AN70=0,K70,0)</f>
        <v>0</v>
      </c>
      <c r="AK70" s="15">
        <f>IF(AN70=15,K70,0)</f>
        <v>0</v>
      </c>
      <c r="AL70" s="15">
        <f>IF(AN70=21,K70,0)</f>
        <v>0</v>
      </c>
      <c r="AN70" s="33">
        <v>21</v>
      </c>
      <c r="AO70" s="33">
        <f>H70*0</f>
        <v>0</v>
      </c>
      <c r="AP70" s="33">
        <f>H70*(1-0)</f>
        <v>0</v>
      </c>
      <c r="AQ70" s="27" t="s">
        <v>13</v>
      </c>
      <c r="AV70" s="33">
        <f>AW70+AX70</f>
        <v>0</v>
      </c>
      <c r="AW70" s="33">
        <f>G70*AO70</f>
        <v>0</v>
      </c>
      <c r="AX70" s="33">
        <f>G70*AP70</f>
        <v>0</v>
      </c>
      <c r="AY70" s="34" t="s">
        <v>277</v>
      </c>
      <c r="AZ70" s="34" t="s">
        <v>289</v>
      </c>
      <c r="BA70" s="28" t="s">
        <v>292</v>
      </c>
      <c r="BC70" s="33">
        <f>AW70+AX70</f>
        <v>0</v>
      </c>
      <c r="BD70" s="33">
        <f>H70/(100-BE70)*100</f>
        <v>0</v>
      </c>
      <c r="BE70" s="33">
        <v>0</v>
      </c>
      <c r="BF70" s="33">
        <f>70</f>
        <v>70</v>
      </c>
      <c r="BH70" s="15">
        <f>G70*AO70</f>
        <v>0</v>
      </c>
      <c r="BI70" s="15">
        <f>G70*AP70</f>
        <v>0</v>
      </c>
      <c r="BJ70" s="15">
        <f>G70*H70</f>
        <v>0</v>
      </c>
    </row>
    <row r="71" spans="3:7" ht="12.75">
      <c r="C71" s="87" t="s">
        <v>172</v>
      </c>
      <c r="D71" s="88"/>
      <c r="E71" s="88"/>
      <c r="G71" s="16">
        <v>6.73</v>
      </c>
    </row>
    <row r="72" spans="1:62" ht="12.75">
      <c r="A72" s="4" t="s">
        <v>28</v>
      </c>
      <c r="B72" s="4" t="s">
        <v>87</v>
      </c>
      <c r="C72" s="85" t="s">
        <v>173</v>
      </c>
      <c r="D72" s="86"/>
      <c r="E72" s="86"/>
      <c r="F72" s="4" t="s">
        <v>236</v>
      </c>
      <c r="G72" s="15">
        <v>7.05915</v>
      </c>
      <c r="H72" s="15">
        <v>0</v>
      </c>
      <c r="I72" s="15">
        <f>G72*AO72</f>
        <v>0</v>
      </c>
      <c r="J72" s="15">
        <f>G72*AP72</f>
        <v>0</v>
      </c>
      <c r="K72" s="15">
        <f>G72*H72</f>
        <v>0</v>
      </c>
      <c r="L72" s="27" t="s">
        <v>259</v>
      </c>
      <c r="Z72" s="33">
        <f>IF(AQ72="5",BJ72,0)</f>
        <v>0</v>
      </c>
      <c r="AB72" s="33">
        <f>IF(AQ72="1",BH72,0)</f>
        <v>0</v>
      </c>
      <c r="AC72" s="33">
        <f>IF(AQ72="1",BI72,0)</f>
        <v>0</v>
      </c>
      <c r="AD72" s="33">
        <f>IF(AQ72="7",BH72,0)</f>
        <v>0</v>
      </c>
      <c r="AE72" s="33">
        <f>IF(AQ72="7",BI72,0)</f>
        <v>0</v>
      </c>
      <c r="AF72" s="33">
        <f>IF(AQ72="2",BH72,0)</f>
        <v>0</v>
      </c>
      <c r="AG72" s="33">
        <f>IF(AQ72="2",BI72,0)</f>
        <v>0</v>
      </c>
      <c r="AH72" s="33">
        <f>IF(AQ72="0",BJ72,0)</f>
        <v>0</v>
      </c>
      <c r="AI72" s="28"/>
      <c r="AJ72" s="15">
        <f>IF(AN72=0,K72,0)</f>
        <v>0</v>
      </c>
      <c r="AK72" s="15">
        <f>IF(AN72=15,K72,0)</f>
        <v>0</v>
      </c>
      <c r="AL72" s="15">
        <f>IF(AN72=21,K72,0)</f>
        <v>0</v>
      </c>
      <c r="AN72" s="33">
        <v>21</v>
      </c>
      <c r="AO72" s="33">
        <f>H72*0.529479085681679</f>
        <v>0</v>
      </c>
      <c r="AP72" s="33">
        <f>H72*(1-0.529479085681679)</f>
        <v>0</v>
      </c>
      <c r="AQ72" s="27" t="s">
        <v>13</v>
      </c>
      <c r="AV72" s="33">
        <f>AW72+AX72</f>
        <v>0</v>
      </c>
      <c r="AW72" s="33">
        <f>G72*AO72</f>
        <v>0</v>
      </c>
      <c r="AX72" s="33">
        <f>G72*AP72</f>
        <v>0</v>
      </c>
      <c r="AY72" s="34" t="s">
        <v>277</v>
      </c>
      <c r="AZ72" s="34" t="s">
        <v>289</v>
      </c>
      <c r="BA72" s="28" t="s">
        <v>292</v>
      </c>
      <c r="BC72" s="33">
        <f>AW72+AX72</f>
        <v>0</v>
      </c>
      <c r="BD72" s="33">
        <f>H72/(100-BE72)*100</f>
        <v>0</v>
      </c>
      <c r="BE72" s="33">
        <v>0</v>
      </c>
      <c r="BF72" s="33">
        <f>72</f>
        <v>72</v>
      </c>
      <c r="BH72" s="15">
        <f>G72*AO72</f>
        <v>0</v>
      </c>
      <c r="BI72" s="15">
        <f>G72*AP72</f>
        <v>0</v>
      </c>
      <c r="BJ72" s="15">
        <f>G72*H72</f>
        <v>0</v>
      </c>
    </row>
    <row r="73" spans="3:7" ht="12.75">
      <c r="C73" s="87" t="s">
        <v>174</v>
      </c>
      <c r="D73" s="88"/>
      <c r="E73" s="88"/>
      <c r="G73" s="16">
        <v>6.723</v>
      </c>
    </row>
    <row r="74" spans="3:7" ht="12.75">
      <c r="C74" s="87" t="s">
        <v>175</v>
      </c>
      <c r="D74" s="88"/>
      <c r="E74" s="88"/>
      <c r="G74" s="16">
        <v>0.33615</v>
      </c>
    </row>
    <row r="75" spans="1:62" ht="12.75">
      <c r="A75" s="4" t="s">
        <v>29</v>
      </c>
      <c r="B75" s="4" t="s">
        <v>88</v>
      </c>
      <c r="C75" s="85" t="s">
        <v>176</v>
      </c>
      <c r="D75" s="86"/>
      <c r="E75" s="86"/>
      <c r="F75" s="4" t="s">
        <v>234</v>
      </c>
      <c r="G75" s="15">
        <v>3</v>
      </c>
      <c r="H75" s="15">
        <v>0</v>
      </c>
      <c r="I75" s="15">
        <f>G75*AO75</f>
        <v>0</v>
      </c>
      <c r="J75" s="15">
        <f>G75*AP75</f>
        <v>0</v>
      </c>
      <c r="K75" s="15">
        <f>G75*H75</f>
        <v>0</v>
      </c>
      <c r="L75" s="27"/>
      <c r="Z75" s="33">
        <f>IF(AQ75="5",BJ75,0)</f>
        <v>0</v>
      </c>
      <c r="AB75" s="33">
        <f>IF(AQ75="1",BH75,0)</f>
        <v>0</v>
      </c>
      <c r="AC75" s="33">
        <f>IF(AQ75="1",BI75,0)</f>
        <v>0</v>
      </c>
      <c r="AD75" s="33">
        <f>IF(AQ75="7",BH75,0)</f>
        <v>0</v>
      </c>
      <c r="AE75" s="33">
        <f>IF(AQ75="7",BI75,0)</f>
        <v>0</v>
      </c>
      <c r="AF75" s="33">
        <f>IF(AQ75="2",BH75,0)</f>
        <v>0</v>
      </c>
      <c r="AG75" s="33">
        <f>IF(AQ75="2",BI75,0)</f>
        <v>0</v>
      </c>
      <c r="AH75" s="33">
        <f>IF(AQ75="0",BJ75,0)</f>
        <v>0</v>
      </c>
      <c r="AI75" s="28"/>
      <c r="AJ75" s="15">
        <f>IF(AN75=0,K75,0)</f>
        <v>0</v>
      </c>
      <c r="AK75" s="15">
        <f>IF(AN75=15,K75,0)</f>
        <v>0</v>
      </c>
      <c r="AL75" s="15">
        <f>IF(AN75=21,K75,0)</f>
        <v>0</v>
      </c>
      <c r="AN75" s="33">
        <v>21</v>
      </c>
      <c r="AO75" s="33">
        <f>H75*0.5</f>
        <v>0</v>
      </c>
      <c r="AP75" s="33">
        <f>H75*(1-0.5)</f>
        <v>0</v>
      </c>
      <c r="AQ75" s="27" t="s">
        <v>13</v>
      </c>
      <c r="AV75" s="33">
        <f>AW75+AX75</f>
        <v>0</v>
      </c>
      <c r="AW75" s="33">
        <f>G75*AO75</f>
        <v>0</v>
      </c>
      <c r="AX75" s="33">
        <f>G75*AP75</f>
        <v>0</v>
      </c>
      <c r="AY75" s="34" t="s">
        <v>277</v>
      </c>
      <c r="AZ75" s="34" t="s">
        <v>289</v>
      </c>
      <c r="BA75" s="28" t="s">
        <v>292</v>
      </c>
      <c r="BC75" s="33">
        <f>AW75+AX75</f>
        <v>0</v>
      </c>
      <c r="BD75" s="33">
        <f>H75/(100-BE75)*100</f>
        <v>0</v>
      </c>
      <c r="BE75" s="33">
        <v>0</v>
      </c>
      <c r="BF75" s="33">
        <f>75</f>
        <v>75</v>
      </c>
      <c r="BH75" s="15">
        <f>G75*AO75</f>
        <v>0</v>
      </c>
      <c r="BI75" s="15">
        <f>G75*AP75</f>
        <v>0</v>
      </c>
      <c r="BJ75" s="15">
        <f>G75*H75</f>
        <v>0</v>
      </c>
    </row>
    <row r="76" spans="3:7" ht="12.75">
      <c r="C76" s="87" t="s">
        <v>177</v>
      </c>
      <c r="D76" s="88"/>
      <c r="E76" s="88"/>
      <c r="G76" s="16">
        <v>3</v>
      </c>
    </row>
    <row r="77" spans="3:7" ht="12.75">
      <c r="C77" s="87" t="s">
        <v>178</v>
      </c>
      <c r="D77" s="88"/>
      <c r="E77" s="88"/>
      <c r="G77" s="16">
        <v>0</v>
      </c>
    </row>
    <row r="78" spans="3:7" ht="12.75">
      <c r="C78" s="87" t="s">
        <v>179</v>
      </c>
      <c r="D78" s="88"/>
      <c r="E78" s="88"/>
      <c r="G78" s="16">
        <v>0</v>
      </c>
    </row>
    <row r="79" spans="1:62" ht="12.75">
      <c r="A79" s="4" t="s">
        <v>30</v>
      </c>
      <c r="B79" s="4" t="s">
        <v>89</v>
      </c>
      <c r="C79" s="85" t="s">
        <v>180</v>
      </c>
      <c r="D79" s="86"/>
      <c r="E79" s="86"/>
      <c r="F79" s="4" t="s">
        <v>236</v>
      </c>
      <c r="G79" s="15">
        <v>6.4</v>
      </c>
      <c r="H79" s="15">
        <v>0</v>
      </c>
      <c r="I79" s="15">
        <f>G79*AO79</f>
        <v>0</v>
      </c>
      <c r="J79" s="15">
        <f>G79*AP79</f>
        <v>0</v>
      </c>
      <c r="K79" s="15">
        <f>G79*H79</f>
        <v>0</v>
      </c>
      <c r="L79" s="27" t="s">
        <v>259</v>
      </c>
      <c r="Z79" s="33">
        <f>IF(AQ79="5",BJ79,0)</f>
        <v>0</v>
      </c>
      <c r="AB79" s="33">
        <f>IF(AQ79="1",BH79,0)</f>
        <v>0</v>
      </c>
      <c r="AC79" s="33">
        <f>IF(AQ79="1",BI79,0)</f>
        <v>0</v>
      </c>
      <c r="AD79" s="33">
        <f>IF(AQ79="7",BH79,0)</f>
        <v>0</v>
      </c>
      <c r="AE79" s="33">
        <f>IF(AQ79="7",BI79,0)</f>
        <v>0</v>
      </c>
      <c r="AF79" s="33">
        <f>IF(AQ79="2",BH79,0)</f>
        <v>0</v>
      </c>
      <c r="AG79" s="33">
        <f>IF(AQ79="2",BI79,0)</f>
        <v>0</v>
      </c>
      <c r="AH79" s="33">
        <f>IF(AQ79="0",BJ79,0)</f>
        <v>0</v>
      </c>
      <c r="AI79" s="28"/>
      <c r="AJ79" s="15">
        <f>IF(AN79=0,K79,0)</f>
        <v>0</v>
      </c>
      <c r="AK79" s="15">
        <f>IF(AN79=15,K79,0)</f>
        <v>0</v>
      </c>
      <c r="AL79" s="15">
        <f>IF(AN79=21,K79,0)</f>
        <v>0</v>
      </c>
      <c r="AN79" s="33">
        <v>21</v>
      </c>
      <c r="AO79" s="33">
        <f>H79*0</f>
        <v>0</v>
      </c>
      <c r="AP79" s="33">
        <f>H79*(1-0)</f>
        <v>0</v>
      </c>
      <c r="AQ79" s="27" t="s">
        <v>13</v>
      </c>
      <c r="AV79" s="33">
        <f>AW79+AX79</f>
        <v>0</v>
      </c>
      <c r="AW79" s="33">
        <f>G79*AO79</f>
        <v>0</v>
      </c>
      <c r="AX79" s="33">
        <f>G79*AP79</f>
        <v>0</v>
      </c>
      <c r="AY79" s="34" t="s">
        <v>277</v>
      </c>
      <c r="AZ79" s="34" t="s">
        <v>289</v>
      </c>
      <c r="BA79" s="28" t="s">
        <v>292</v>
      </c>
      <c r="BC79" s="33">
        <f>AW79+AX79</f>
        <v>0</v>
      </c>
      <c r="BD79" s="33">
        <f>H79/(100-BE79)*100</f>
        <v>0</v>
      </c>
      <c r="BE79" s="33">
        <v>0</v>
      </c>
      <c r="BF79" s="33">
        <f>79</f>
        <v>79</v>
      </c>
      <c r="BH79" s="15">
        <f>G79*AO79</f>
        <v>0</v>
      </c>
      <c r="BI79" s="15">
        <f>G79*AP79</f>
        <v>0</v>
      </c>
      <c r="BJ79" s="15">
        <f>G79*H79</f>
        <v>0</v>
      </c>
    </row>
    <row r="80" spans="3:7" ht="12.75">
      <c r="C80" s="87" t="s">
        <v>181</v>
      </c>
      <c r="D80" s="88"/>
      <c r="E80" s="88"/>
      <c r="G80" s="16">
        <v>6.4</v>
      </c>
    </row>
    <row r="81" spans="1:62" ht="12.75">
      <c r="A81" s="4" t="s">
        <v>31</v>
      </c>
      <c r="B81" s="4" t="s">
        <v>90</v>
      </c>
      <c r="C81" s="85" t="s">
        <v>182</v>
      </c>
      <c r="D81" s="86"/>
      <c r="E81" s="86"/>
      <c r="F81" s="4" t="s">
        <v>236</v>
      </c>
      <c r="G81" s="15">
        <v>3</v>
      </c>
      <c r="H81" s="15">
        <v>0</v>
      </c>
      <c r="I81" s="15">
        <f>G81*AO81</f>
        <v>0</v>
      </c>
      <c r="J81" s="15">
        <f>G81*AP81</f>
        <v>0</v>
      </c>
      <c r="K81" s="15">
        <f>G81*H81</f>
        <v>0</v>
      </c>
      <c r="L81" s="27" t="s">
        <v>259</v>
      </c>
      <c r="Z81" s="33">
        <f>IF(AQ81="5",BJ81,0)</f>
        <v>0</v>
      </c>
      <c r="AB81" s="33">
        <f>IF(AQ81="1",BH81,0)</f>
        <v>0</v>
      </c>
      <c r="AC81" s="33">
        <f>IF(AQ81="1",BI81,0)</f>
        <v>0</v>
      </c>
      <c r="AD81" s="33">
        <f>IF(AQ81="7",BH81,0)</f>
        <v>0</v>
      </c>
      <c r="AE81" s="33">
        <f>IF(AQ81="7",BI81,0)</f>
        <v>0</v>
      </c>
      <c r="AF81" s="33">
        <f>IF(AQ81="2",BH81,0)</f>
        <v>0</v>
      </c>
      <c r="AG81" s="33">
        <f>IF(AQ81="2",BI81,0)</f>
        <v>0</v>
      </c>
      <c r="AH81" s="33">
        <f>IF(AQ81="0",BJ81,0)</f>
        <v>0</v>
      </c>
      <c r="AI81" s="28"/>
      <c r="AJ81" s="15">
        <f>IF(AN81=0,K81,0)</f>
        <v>0</v>
      </c>
      <c r="AK81" s="15">
        <f>IF(AN81=15,K81,0)</f>
        <v>0</v>
      </c>
      <c r="AL81" s="15">
        <f>IF(AN81=21,K81,0)</f>
        <v>0</v>
      </c>
      <c r="AN81" s="33">
        <v>21</v>
      </c>
      <c r="AO81" s="33">
        <f>H81*0</f>
        <v>0</v>
      </c>
      <c r="AP81" s="33">
        <f>H81*(1-0)</f>
        <v>0</v>
      </c>
      <c r="AQ81" s="27" t="s">
        <v>13</v>
      </c>
      <c r="AV81" s="33">
        <f>AW81+AX81</f>
        <v>0</v>
      </c>
      <c r="AW81" s="33">
        <f>G81*AO81</f>
        <v>0</v>
      </c>
      <c r="AX81" s="33">
        <f>G81*AP81</f>
        <v>0</v>
      </c>
      <c r="AY81" s="34" t="s">
        <v>277</v>
      </c>
      <c r="AZ81" s="34" t="s">
        <v>289</v>
      </c>
      <c r="BA81" s="28" t="s">
        <v>292</v>
      </c>
      <c r="BC81" s="33">
        <f>AW81+AX81</f>
        <v>0</v>
      </c>
      <c r="BD81" s="33">
        <f>H81/(100-BE81)*100</f>
        <v>0</v>
      </c>
      <c r="BE81" s="33">
        <v>0</v>
      </c>
      <c r="BF81" s="33">
        <f>81</f>
        <v>81</v>
      </c>
      <c r="BH81" s="15">
        <f>G81*AO81</f>
        <v>0</v>
      </c>
      <c r="BI81" s="15">
        <f>G81*AP81</f>
        <v>0</v>
      </c>
      <c r="BJ81" s="15">
        <f>G81*H81</f>
        <v>0</v>
      </c>
    </row>
    <row r="82" spans="3:7" ht="12.75">
      <c r="C82" s="87" t="s">
        <v>183</v>
      </c>
      <c r="D82" s="88"/>
      <c r="E82" s="88"/>
      <c r="G82" s="16">
        <v>3</v>
      </c>
    </row>
    <row r="83" spans="1:62" ht="12.75">
      <c r="A83" s="4" t="s">
        <v>32</v>
      </c>
      <c r="B83" s="4" t="s">
        <v>91</v>
      </c>
      <c r="C83" s="85" t="s">
        <v>184</v>
      </c>
      <c r="D83" s="86"/>
      <c r="E83" s="86"/>
      <c r="F83" s="4" t="s">
        <v>234</v>
      </c>
      <c r="G83" s="15">
        <v>1</v>
      </c>
      <c r="H83" s="15">
        <v>0</v>
      </c>
      <c r="I83" s="15">
        <f>G83*AO83</f>
        <v>0</v>
      </c>
      <c r="J83" s="15">
        <f>G83*AP83</f>
        <v>0</v>
      </c>
      <c r="K83" s="15">
        <f>G83*H83</f>
        <v>0</v>
      </c>
      <c r="L83" s="27" t="s">
        <v>259</v>
      </c>
      <c r="Z83" s="33">
        <f>IF(AQ83="5",BJ83,0)</f>
        <v>0</v>
      </c>
      <c r="AB83" s="33">
        <f>IF(AQ83="1",BH83,0)</f>
        <v>0</v>
      </c>
      <c r="AC83" s="33">
        <f>IF(AQ83="1",BI83,0)</f>
        <v>0</v>
      </c>
      <c r="AD83" s="33">
        <f>IF(AQ83="7",BH83,0)</f>
        <v>0</v>
      </c>
      <c r="AE83" s="33">
        <f>IF(AQ83="7",BI83,0)</f>
        <v>0</v>
      </c>
      <c r="AF83" s="33">
        <f>IF(AQ83="2",BH83,0)</f>
        <v>0</v>
      </c>
      <c r="AG83" s="33">
        <f>IF(AQ83="2",BI83,0)</f>
        <v>0</v>
      </c>
      <c r="AH83" s="33">
        <f>IF(AQ83="0",BJ83,0)</f>
        <v>0</v>
      </c>
      <c r="AI83" s="28"/>
      <c r="AJ83" s="15">
        <f>IF(AN83=0,K83,0)</f>
        <v>0</v>
      </c>
      <c r="AK83" s="15">
        <f>IF(AN83=15,K83,0)</f>
        <v>0</v>
      </c>
      <c r="AL83" s="15">
        <f>IF(AN83=21,K83,0)</f>
        <v>0</v>
      </c>
      <c r="AN83" s="33">
        <v>21</v>
      </c>
      <c r="AO83" s="33">
        <f>H83*0</f>
        <v>0</v>
      </c>
      <c r="AP83" s="33">
        <f>H83*(1-0)</f>
        <v>0</v>
      </c>
      <c r="AQ83" s="27" t="s">
        <v>13</v>
      </c>
      <c r="AV83" s="33">
        <f>AW83+AX83</f>
        <v>0</v>
      </c>
      <c r="AW83" s="33">
        <f>G83*AO83</f>
        <v>0</v>
      </c>
      <c r="AX83" s="33">
        <f>G83*AP83</f>
        <v>0</v>
      </c>
      <c r="AY83" s="34" t="s">
        <v>277</v>
      </c>
      <c r="AZ83" s="34" t="s">
        <v>289</v>
      </c>
      <c r="BA83" s="28" t="s">
        <v>292</v>
      </c>
      <c r="BC83" s="33">
        <f>AW83+AX83</f>
        <v>0</v>
      </c>
      <c r="BD83" s="33">
        <f>H83/(100-BE83)*100</f>
        <v>0</v>
      </c>
      <c r="BE83" s="33">
        <v>0</v>
      </c>
      <c r="BF83" s="33">
        <f>83</f>
        <v>83</v>
      </c>
      <c r="BH83" s="15">
        <f>G83*AO83</f>
        <v>0</v>
      </c>
      <c r="BI83" s="15">
        <f>G83*AP83</f>
        <v>0</v>
      </c>
      <c r="BJ83" s="15">
        <f>G83*H83</f>
        <v>0</v>
      </c>
    </row>
    <row r="84" spans="3:7" ht="12.75">
      <c r="C84" s="87" t="s">
        <v>168</v>
      </c>
      <c r="D84" s="88"/>
      <c r="E84" s="88"/>
      <c r="G84" s="16">
        <v>1</v>
      </c>
    </row>
    <row r="85" spans="1:62" ht="12.75">
      <c r="A85" s="4" t="s">
        <v>33</v>
      </c>
      <c r="B85" s="4" t="s">
        <v>92</v>
      </c>
      <c r="C85" s="85" t="s">
        <v>185</v>
      </c>
      <c r="D85" s="86"/>
      <c r="E85" s="86"/>
      <c r="F85" s="4" t="s">
        <v>236</v>
      </c>
      <c r="G85" s="15">
        <v>6.4</v>
      </c>
      <c r="H85" s="15">
        <v>0</v>
      </c>
      <c r="I85" s="15">
        <f>G85*AO85</f>
        <v>0</v>
      </c>
      <c r="J85" s="15">
        <f>G85*AP85</f>
        <v>0</v>
      </c>
      <c r="K85" s="15">
        <f>G85*H85</f>
        <v>0</v>
      </c>
      <c r="L85" s="27" t="s">
        <v>259</v>
      </c>
      <c r="Z85" s="33">
        <f>IF(AQ85="5",BJ85,0)</f>
        <v>0</v>
      </c>
      <c r="AB85" s="33">
        <f>IF(AQ85="1",BH85,0)</f>
        <v>0</v>
      </c>
      <c r="AC85" s="33">
        <f>IF(AQ85="1",BI85,0)</f>
        <v>0</v>
      </c>
      <c r="AD85" s="33">
        <f>IF(AQ85="7",BH85,0)</f>
        <v>0</v>
      </c>
      <c r="AE85" s="33">
        <f>IF(AQ85="7",BI85,0)</f>
        <v>0</v>
      </c>
      <c r="AF85" s="33">
        <f>IF(AQ85="2",BH85,0)</f>
        <v>0</v>
      </c>
      <c r="AG85" s="33">
        <f>IF(AQ85="2",BI85,0)</f>
        <v>0</v>
      </c>
      <c r="AH85" s="33">
        <f>IF(AQ85="0",BJ85,0)</f>
        <v>0</v>
      </c>
      <c r="AI85" s="28"/>
      <c r="AJ85" s="15">
        <f>IF(AN85=0,K85,0)</f>
        <v>0</v>
      </c>
      <c r="AK85" s="15">
        <f>IF(AN85=15,K85,0)</f>
        <v>0</v>
      </c>
      <c r="AL85" s="15">
        <f>IF(AN85=21,K85,0)</f>
        <v>0</v>
      </c>
      <c r="AN85" s="33">
        <v>21</v>
      </c>
      <c r="AO85" s="33">
        <f>H85*0</f>
        <v>0</v>
      </c>
      <c r="AP85" s="33">
        <f>H85*(1-0)</f>
        <v>0</v>
      </c>
      <c r="AQ85" s="27" t="s">
        <v>13</v>
      </c>
      <c r="AV85" s="33">
        <f>AW85+AX85</f>
        <v>0</v>
      </c>
      <c r="AW85" s="33">
        <f>G85*AO85</f>
        <v>0</v>
      </c>
      <c r="AX85" s="33">
        <f>G85*AP85</f>
        <v>0</v>
      </c>
      <c r="AY85" s="34" t="s">
        <v>277</v>
      </c>
      <c r="AZ85" s="34" t="s">
        <v>289</v>
      </c>
      <c r="BA85" s="28" t="s">
        <v>292</v>
      </c>
      <c r="BC85" s="33">
        <f>AW85+AX85</f>
        <v>0</v>
      </c>
      <c r="BD85" s="33">
        <f>H85/(100-BE85)*100</f>
        <v>0</v>
      </c>
      <c r="BE85" s="33">
        <v>0</v>
      </c>
      <c r="BF85" s="33">
        <f>85</f>
        <v>85</v>
      </c>
      <c r="BH85" s="15">
        <f>G85*AO85</f>
        <v>0</v>
      </c>
      <c r="BI85" s="15">
        <f>G85*AP85</f>
        <v>0</v>
      </c>
      <c r="BJ85" s="15">
        <f>G85*H85</f>
        <v>0</v>
      </c>
    </row>
    <row r="86" spans="3:7" ht="12.75">
      <c r="C86" s="87" t="s">
        <v>181</v>
      </c>
      <c r="D86" s="88"/>
      <c r="E86" s="88"/>
      <c r="G86" s="16">
        <v>6.4</v>
      </c>
    </row>
    <row r="87" spans="1:62" ht="12.75">
      <c r="A87" s="4" t="s">
        <v>34</v>
      </c>
      <c r="B87" s="4" t="s">
        <v>93</v>
      </c>
      <c r="C87" s="85" t="s">
        <v>186</v>
      </c>
      <c r="D87" s="86"/>
      <c r="E87" s="86"/>
      <c r="F87" s="4" t="s">
        <v>236</v>
      </c>
      <c r="G87" s="15">
        <v>6.4</v>
      </c>
      <c r="H87" s="15">
        <v>0</v>
      </c>
      <c r="I87" s="15">
        <f>G87*AO87</f>
        <v>0</v>
      </c>
      <c r="J87" s="15">
        <f>G87*AP87</f>
        <v>0</v>
      </c>
      <c r="K87" s="15">
        <f>G87*H87</f>
        <v>0</v>
      </c>
      <c r="L87" s="27" t="s">
        <v>259</v>
      </c>
      <c r="Z87" s="33">
        <f>IF(AQ87="5",BJ87,0)</f>
        <v>0</v>
      </c>
      <c r="AB87" s="33">
        <f>IF(AQ87="1",BH87,0)</f>
        <v>0</v>
      </c>
      <c r="AC87" s="33">
        <f>IF(AQ87="1",BI87,0)</f>
        <v>0</v>
      </c>
      <c r="AD87" s="33">
        <f>IF(AQ87="7",BH87,0)</f>
        <v>0</v>
      </c>
      <c r="AE87" s="33">
        <f>IF(AQ87="7",BI87,0)</f>
        <v>0</v>
      </c>
      <c r="AF87" s="33">
        <f>IF(AQ87="2",BH87,0)</f>
        <v>0</v>
      </c>
      <c r="AG87" s="33">
        <f>IF(AQ87="2",BI87,0)</f>
        <v>0</v>
      </c>
      <c r="AH87" s="33">
        <f>IF(AQ87="0",BJ87,0)</f>
        <v>0</v>
      </c>
      <c r="AI87" s="28"/>
      <c r="AJ87" s="15">
        <f>IF(AN87=0,K87,0)</f>
        <v>0</v>
      </c>
      <c r="AK87" s="15">
        <f>IF(AN87=15,K87,0)</f>
        <v>0</v>
      </c>
      <c r="AL87" s="15">
        <f>IF(AN87=21,K87,0)</f>
        <v>0</v>
      </c>
      <c r="AN87" s="33">
        <v>21</v>
      </c>
      <c r="AO87" s="33">
        <f>H87*0.523599639091223</f>
        <v>0</v>
      </c>
      <c r="AP87" s="33">
        <f>H87*(1-0.523599639091223)</f>
        <v>0</v>
      </c>
      <c r="AQ87" s="27" t="s">
        <v>13</v>
      </c>
      <c r="AV87" s="33">
        <f>AW87+AX87</f>
        <v>0</v>
      </c>
      <c r="AW87" s="33">
        <f>G87*AO87</f>
        <v>0</v>
      </c>
      <c r="AX87" s="33">
        <f>G87*AP87</f>
        <v>0</v>
      </c>
      <c r="AY87" s="34" t="s">
        <v>277</v>
      </c>
      <c r="AZ87" s="34" t="s">
        <v>289</v>
      </c>
      <c r="BA87" s="28" t="s">
        <v>292</v>
      </c>
      <c r="BC87" s="33">
        <f>AW87+AX87</f>
        <v>0</v>
      </c>
      <c r="BD87" s="33">
        <f>H87/(100-BE87)*100</f>
        <v>0</v>
      </c>
      <c r="BE87" s="33">
        <v>0</v>
      </c>
      <c r="BF87" s="33">
        <f>87</f>
        <v>87</v>
      </c>
      <c r="BH87" s="15">
        <f>G87*AO87</f>
        <v>0</v>
      </c>
      <c r="BI87" s="15">
        <f>G87*AP87</f>
        <v>0</v>
      </c>
      <c r="BJ87" s="15">
        <f>G87*H87</f>
        <v>0</v>
      </c>
    </row>
    <row r="88" spans="3:7" ht="12.75">
      <c r="C88" s="87" t="s">
        <v>181</v>
      </c>
      <c r="D88" s="88"/>
      <c r="E88" s="88"/>
      <c r="G88" s="16">
        <v>6.4</v>
      </c>
    </row>
    <row r="89" spans="1:62" ht="12.75">
      <c r="A89" s="4" t="s">
        <v>35</v>
      </c>
      <c r="B89" s="4" t="s">
        <v>94</v>
      </c>
      <c r="C89" s="85" t="s">
        <v>187</v>
      </c>
      <c r="D89" s="86"/>
      <c r="E89" s="86"/>
      <c r="F89" s="4" t="s">
        <v>236</v>
      </c>
      <c r="G89" s="15">
        <v>3</v>
      </c>
      <c r="H89" s="15">
        <v>0</v>
      </c>
      <c r="I89" s="15">
        <f>G89*AO89</f>
        <v>0</v>
      </c>
      <c r="J89" s="15">
        <f>G89*AP89</f>
        <v>0</v>
      </c>
      <c r="K89" s="15">
        <f>G89*H89</f>
        <v>0</v>
      </c>
      <c r="L89" s="27" t="s">
        <v>259</v>
      </c>
      <c r="Z89" s="33">
        <f>IF(AQ89="5",BJ89,0)</f>
        <v>0</v>
      </c>
      <c r="AB89" s="33">
        <f>IF(AQ89="1",BH89,0)</f>
        <v>0</v>
      </c>
      <c r="AC89" s="33">
        <f>IF(AQ89="1",BI89,0)</f>
        <v>0</v>
      </c>
      <c r="AD89" s="33">
        <f>IF(AQ89="7",BH89,0)</f>
        <v>0</v>
      </c>
      <c r="AE89" s="33">
        <f>IF(AQ89="7",BI89,0)</f>
        <v>0</v>
      </c>
      <c r="AF89" s="33">
        <f>IF(AQ89="2",BH89,0)</f>
        <v>0</v>
      </c>
      <c r="AG89" s="33">
        <f>IF(AQ89="2",BI89,0)</f>
        <v>0</v>
      </c>
      <c r="AH89" s="33">
        <f>IF(AQ89="0",BJ89,0)</f>
        <v>0</v>
      </c>
      <c r="AI89" s="28"/>
      <c r="AJ89" s="15">
        <f>IF(AN89=0,K89,0)</f>
        <v>0</v>
      </c>
      <c r="AK89" s="15">
        <f>IF(AN89=15,K89,0)</f>
        <v>0</v>
      </c>
      <c r="AL89" s="15">
        <f>IF(AN89=21,K89,0)</f>
        <v>0</v>
      </c>
      <c r="AN89" s="33">
        <v>21</v>
      </c>
      <c r="AO89" s="33">
        <f>H89*0.766042737529499</f>
        <v>0</v>
      </c>
      <c r="AP89" s="33">
        <f>H89*(1-0.766042737529499)</f>
        <v>0</v>
      </c>
      <c r="AQ89" s="27" t="s">
        <v>13</v>
      </c>
      <c r="AV89" s="33">
        <f>AW89+AX89</f>
        <v>0</v>
      </c>
      <c r="AW89" s="33">
        <f>G89*AO89</f>
        <v>0</v>
      </c>
      <c r="AX89" s="33">
        <f>G89*AP89</f>
        <v>0</v>
      </c>
      <c r="AY89" s="34" t="s">
        <v>277</v>
      </c>
      <c r="AZ89" s="34" t="s">
        <v>289</v>
      </c>
      <c r="BA89" s="28" t="s">
        <v>292</v>
      </c>
      <c r="BC89" s="33">
        <f>AW89+AX89</f>
        <v>0</v>
      </c>
      <c r="BD89" s="33">
        <f>H89/(100-BE89)*100</f>
        <v>0</v>
      </c>
      <c r="BE89" s="33">
        <v>0</v>
      </c>
      <c r="BF89" s="33">
        <f>89</f>
        <v>89</v>
      </c>
      <c r="BH89" s="15">
        <f>G89*AO89</f>
        <v>0</v>
      </c>
      <c r="BI89" s="15">
        <f>G89*AP89</f>
        <v>0</v>
      </c>
      <c r="BJ89" s="15">
        <f>G89*H89</f>
        <v>0</v>
      </c>
    </row>
    <row r="90" spans="3:7" ht="12.75">
      <c r="C90" s="87" t="s">
        <v>183</v>
      </c>
      <c r="D90" s="88"/>
      <c r="E90" s="88"/>
      <c r="G90" s="16">
        <v>3</v>
      </c>
    </row>
    <row r="91" spans="1:62" ht="12.75">
      <c r="A91" s="4" t="s">
        <v>36</v>
      </c>
      <c r="B91" s="4" t="s">
        <v>95</v>
      </c>
      <c r="C91" s="85" t="s">
        <v>188</v>
      </c>
      <c r="D91" s="86"/>
      <c r="E91" s="86"/>
      <c r="F91" s="4" t="s">
        <v>234</v>
      </c>
      <c r="G91" s="15">
        <v>1</v>
      </c>
      <c r="H91" s="15">
        <v>0</v>
      </c>
      <c r="I91" s="15">
        <f>G91*AO91</f>
        <v>0</v>
      </c>
      <c r="J91" s="15">
        <f>G91*AP91</f>
        <v>0</v>
      </c>
      <c r="K91" s="15">
        <f>G91*H91</f>
        <v>0</v>
      </c>
      <c r="L91" s="27" t="s">
        <v>259</v>
      </c>
      <c r="Z91" s="33">
        <f>IF(AQ91="5",BJ91,0)</f>
        <v>0</v>
      </c>
      <c r="AB91" s="33">
        <f>IF(AQ91="1",BH91,0)</f>
        <v>0</v>
      </c>
      <c r="AC91" s="33">
        <f>IF(AQ91="1",BI91,0)</f>
        <v>0</v>
      </c>
      <c r="AD91" s="33">
        <f>IF(AQ91="7",BH91,0)</f>
        <v>0</v>
      </c>
      <c r="AE91" s="33">
        <f>IF(AQ91="7",BI91,0)</f>
        <v>0</v>
      </c>
      <c r="AF91" s="33">
        <f>IF(AQ91="2",BH91,0)</f>
        <v>0</v>
      </c>
      <c r="AG91" s="33">
        <f>IF(AQ91="2",BI91,0)</f>
        <v>0</v>
      </c>
      <c r="AH91" s="33">
        <f>IF(AQ91="0",BJ91,0)</f>
        <v>0</v>
      </c>
      <c r="AI91" s="28"/>
      <c r="AJ91" s="15">
        <f>IF(AN91=0,K91,0)</f>
        <v>0</v>
      </c>
      <c r="AK91" s="15">
        <f>IF(AN91=15,K91,0)</f>
        <v>0</v>
      </c>
      <c r="AL91" s="15">
        <f>IF(AN91=21,K91,0)</f>
        <v>0</v>
      </c>
      <c r="AN91" s="33">
        <v>21</v>
      </c>
      <c r="AO91" s="33">
        <f>H91*0.505760286225403</f>
        <v>0</v>
      </c>
      <c r="AP91" s="33">
        <f>H91*(1-0.505760286225403)</f>
        <v>0</v>
      </c>
      <c r="AQ91" s="27" t="s">
        <v>13</v>
      </c>
      <c r="AV91" s="33">
        <f>AW91+AX91</f>
        <v>0</v>
      </c>
      <c r="AW91" s="33">
        <f>G91*AO91</f>
        <v>0</v>
      </c>
      <c r="AX91" s="33">
        <f>G91*AP91</f>
        <v>0</v>
      </c>
      <c r="AY91" s="34" t="s">
        <v>277</v>
      </c>
      <c r="AZ91" s="34" t="s">
        <v>289</v>
      </c>
      <c r="BA91" s="28" t="s">
        <v>292</v>
      </c>
      <c r="BC91" s="33">
        <f>AW91+AX91</f>
        <v>0</v>
      </c>
      <c r="BD91" s="33">
        <f>H91/(100-BE91)*100</f>
        <v>0</v>
      </c>
      <c r="BE91" s="33">
        <v>0</v>
      </c>
      <c r="BF91" s="33">
        <f>91</f>
        <v>91</v>
      </c>
      <c r="BH91" s="15">
        <f>G91*AO91</f>
        <v>0</v>
      </c>
      <c r="BI91" s="15">
        <f>G91*AP91</f>
        <v>0</v>
      </c>
      <c r="BJ91" s="15">
        <f>G91*H91</f>
        <v>0</v>
      </c>
    </row>
    <row r="92" spans="3:7" ht="12.75">
      <c r="C92" s="87" t="s">
        <v>168</v>
      </c>
      <c r="D92" s="88"/>
      <c r="E92" s="88"/>
      <c r="G92" s="16">
        <v>1</v>
      </c>
    </row>
    <row r="93" spans="1:62" ht="12.75">
      <c r="A93" s="4" t="s">
        <v>37</v>
      </c>
      <c r="B93" s="4" t="s">
        <v>96</v>
      </c>
      <c r="C93" s="85" t="s">
        <v>189</v>
      </c>
      <c r="D93" s="86"/>
      <c r="E93" s="86"/>
      <c r="F93" s="4" t="s">
        <v>236</v>
      </c>
      <c r="G93" s="15">
        <v>6.4</v>
      </c>
      <c r="H93" s="15">
        <v>0</v>
      </c>
      <c r="I93" s="15">
        <f>G93*AO93</f>
        <v>0</v>
      </c>
      <c r="J93" s="15">
        <f>G93*AP93</f>
        <v>0</v>
      </c>
      <c r="K93" s="15">
        <f>G93*H93</f>
        <v>0</v>
      </c>
      <c r="L93" s="27" t="s">
        <v>259</v>
      </c>
      <c r="Z93" s="33">
        <f>IF(AQ93="5",BJ93,0)</f>
        <v>0</v>
      </c>
      <c r="AB93" s="33">
        <f>IF(AQ93="1",BH93,0)</f>
        <v>0</v>
      </c>
      <c r="AC93" s="33">
        <f>IF(AQ93="1",BI93,0)</f>
        <v>0</v>
      </c>
      <c r="AD93" s="33">
        <f>IF(AQ93="7",BH93,0)</f>
        <v>0</v>
      </c>
      <c r="AE93" s="33">
        <f>IF(AQ93="7",BI93,0)</f>
        <v>0</v>
      </c>
      <c r="AF93" s="33">
        <f>IF(AQ93="2",BH93,0)</f>
        <v>0</v>
      </c>
      <c r="AG93" s="33">
        <f>IF(AQ93="2",BI93,0)</f>
        <v>0</v>
      </c>
      <c r="AH93" s="33">
        <f>IF(AQ93="0",BJ93,0)</f>
        <v>0</v>
      </c>
      <c r="AI93" s="28"/>
      <c r="AJ93" s="15">
        <f>IF(AN93=0,K93,0)</f>
        <v>0</v>
      </c>
      <c r="AK93" s="15">
        <f>IF(AN93=15,K93,0)</f>
        <v>0</v>
      </c>
      <c r="AL93" s="15">
        <f>IF(AN93=21,K93,0)</f>
        <v>0</v>
      </c>
      <c r="AN93" s="33">
        <v>21</v>
      </c>
      <c r="AO93" s="33">
        <f>H93*0.490934210526316</f>
        <v>0</v>
      </c>
      <c r="AP93" s="33">
        <f>H93*(1-0.490934210526316)</f>
        <v>0</v>
      </c>
      <c r="AQ93" s="27" t="s">
        <v>13</v>
      </c>
      <c r="AV93" s="33">
        <f>AW93+AX93</f>
        <v>0</v>
      </c>
      <c r="AW93" s="33">
        <f>G93*AO93</f>
        <v>0</v>
      </c>
      <c r="AX93" s="33">
        <f>G93*AP93</f>
        <v>0</v>
      </c>
      <c r="AY93" s="34" t="s">
        <v>277</v>
      </c>
      <c r="AZ93" s="34" t="s">
        <v>289</v>
      </c>
      <c r="BA93" s="28" t="s">
        <v>292</v>
      </c>
      <c r="BC93" s="33">
        <f>AW93+AX93</f>
        <v>0</v>
      </c>
      <c r="BD93" s="33">
        <f>H93/(100-BE93)*100</f>
        <v>0</v>
      </c>
      <c r="BE93" s="33">
        <v>0</v>
      </c>
      <c r="BF93" s="33">
        <f>93</f>
        <v>93</v>
      </c>
      <c r="BH93" s="15">
        <f>G93*AO93</f>
        <v>0</v>
      </c>
      <c r="BI93" s="15">
        <f>G93*AP93</f>
        <v>0</v>
      </c>
      <c r="BJ93" s="15">
        <f>G93*H93</f>
        <v>0</v>
      </c>
    </row>
    <row r="94" spans="3:7" ht="12.75">
      <c r="C94" s="87" t="s">
        <v>181</v>
      </c>
      <c r="D94" s="88"/>
      <c r="E94" s="88"/>
      <c r="G94" s="16">
        <v>6.4</v>
      </c>
    </row>
    <row r="95" spans="1:62" ht="12.75">
      <c r="A95" s="4" t="s">
        <v>38</v>
      </c>
      <c r="B95" s="4" t="s">
        <v>97</v>
      </c>
      <c r="C95" s="85" t="s">
        <v>190</v>
      </c>
      <c r="D95" s="86"/>
      <c r="E95" s="86"/>
      <c r="F95" s="4" t="s">
        <v>234</v>
      </c>
      <c r="G95" s="15">
        <v>2</v>
      </c>
      <c r="H95" s="15">
        <v>0</v>
      </c>
      <c r="I95" s="15">
        <f>G95*AO95</f>
        <v>0</v>
      </c>
      <c r="J95" s="15">
        <f>G95*AP95</f>
        <v>0</v>
      </c>
      <c r="K95" s="15">
        <f>G95*H95</f>
        <v>0</v>
      </c>
      <c r="L95" s="27" t="s">
        <v>259</v>
      </c>
      <c r="Z95" s="33">
        <f>IF(AQ95="5",BJ95,0)</f>
        <v>0</v>
      </c>
      <c r="AB95" s="33">
        <f>IF(AQ95="1",BH95,0)</f>
        <v>0</v>
      </c>
      <c r="AC95" s="33">
        <f>IF(AQ95="1",BI95,0)</f>
        <v>0</v>
      </c>
      <c r="AD95" s="33">
        <f>IF(AQ95="7",BH95,0)</f>
        <v>0</v>
      </c>
      <c r="AE95" s="33">
        <f>IF(AQ95="7",BI95,0)</f>
        <v>0</v>
      </c>
      <c r="AF95" s="33">
        <f>IF(AQ95="2",BH95,0)</f>
        <v>0</v>
      </c>
      <c r="AG95" s="33">
        <f>IF(AQ95="2",BI95,0)</f>
        <v>0</v>
      </c>
      <c r="AH95" s="33">
        <f>IF(AQ95="0",BJ95,0)</f>
        <v>0</v>
      </c>
      <c r="AI95" s="28"/>
      <c r="AJ95" s="15">
        <f>IF(AN95=0,K95,0)</f>
        <v>0</v>
      </c>
      <c r="AK95" s="15">
        <f>IF(AN95=15,K95,0)</f>
        <v>0</v>
      </c>
      <c r="AL95" s="15">
        <f>IF(AN95=21,K95,0)</f>
        <v>0</v>
      </c>
      <c r="AN95" s="33">
        <v>21</v>
      </c>
      <c r="AO95" s="33">
        <f>H95*0.913737113402062</f>
        <v>0</v>
      </c>
      <c r="AP95" s="33">
        <f>H95*(1-0.913737113402062)</f>
        <v>0</v>
      </c>
      <c r="AQ95" s="27" t="s">
        <v>13</v>
      </c>
      <c r="AV95" s="33">
        <f>AW95+AX95</f>
        <v>0</v>
      </c>
      <c r="AW95" s="33">
        <f>G95*AO95</f>
        <v>0</v>
      </c>
      <c r="AX95" s="33">
        <f>G95*AP95</f>
        <v>0</v>
      </c>
      <c r="AY95" s="34" t="s">
        <v>277</v>
      </c>
      <c r="AZ95" s="34" t="s">
        <v>289</v>
      </c>
      <c r="BA95" s="28" t="s">
        <v>292</v>
      </c>
      <c r="BC95" s="33">
        <f>AW95+AX95</f>
        <v>0</v>
      </c>
      <c r="BD95" s="33">
        <f>H95/(100-BE95)*100</f>
        <v>0</v>
      </c>
      <c r="BE95" s="33">
        <v>0</v>
      </c>
      <c r="BF95" s="33">
        <f>95</f>
        <v>95</v>
      </c>
      <c r="BH95" s="15">
        <f>G95*AO95</f>
        <v>0</v>
      </c>
      <c r="BI95" s="15">
        <f>G95*AP95</f>
        <v>0</v>
      </c>
      <c r="BJ95" s="15">
        <f>G95*H95</f>
        <v>0</v>
      </c>
    </row>
    <row r="96" spans="3:7" ht="12.75">
      <c r="C96" s="87" t="s">
        <v>191</v>
      </c>
      <c r="D96" s="88"/>
      <c r="E96" s="88"/>
      <c r="G96" s="16">
        <v>2</v>
      </c>
    </row>
    <row r="97" spans="1:47" ht="12.75">
      <c r="A97" s="5"/>
      <c r="B97" s="13" t="s">
        <v>98</v>
      </c>
      <c r="C97" s="89" t="s">
        <v>192</v>
      </c>
      <c r="D97" s="90"/>
      <c r="E97" s="90"/>
      <c r="F97" s="5" t="s">
        <v>6</v>
      </c>
      <c r="G97" s="5" t="s">
        <v>6</v>
      </c>
      <c r="H97" s="5" t="s">
        <v>6</v>
      </c>
      <c r="I97" s="36">
        <f>SUM(I98:I102)</f>
        <v>0</v>
      </c>
      <c r="J97" s="36">
        <f>SUM(J98:J102)</f>
        <v>0</v>
      </c>
      <c r="K97" s="36">
        <f>SUM(K98:K102)</f>
        <v>0</v>
      </c>
      <c r="L97" s="28"/>
      <c r="AI97" s="28"/>
      <c r="AS97" s="36">
        <f>SUM(AJ98:AJ102)</f>
        <v>0</v>
      </c>
      <c r="AT97" s="36">
        <f>SUM(AK98:AK102)</f>
        <v>0</v>
      </c>
      <c r="AU97" s="36">
        <f>SUM(AL98:AL102)</f>
        <v>0</v>
      </c>
    </row>
    <row r="98" spans="1:62" ht="12.75">
      <c r="A98" s="4" t="s">
        <v>39</v>
      </c>
      <c r="B98" s="4" t="s">
        <v>99</v>
      </c>
      <c r="C98" s="85" t="s">
        <v>193</v>
      </c>
      <c r="D98" s="86"/>
      <c r="E98" s="86"/>
      <c r="F98" s="4" t="s">
        <v>237</v>
      </c>
      <c r="G98" s="15">
        <v>6.6</v>
      </c>
      <c r="H98" s="15">
        <v>0</v>
      </c>
      <c r="I98" s="15">
        <f>G98*AO98</f>
        <v>0</v>
      </c>
      <c r="J98" s="15">
        <f>G98*AP98</f>
        <v>0</v>
      </c>
      <c r="K98" s="15">
        <f>G98*H98</f>
        <v>0</v>
      </c>
      <c r="L98" s="27" t="s">
        <v>259</v>
      </c>
      <c r="Z98" s="33">
        <f>IF(AQ98="5",BJ98,0)</f>
        <v>0</v>
      </c>
      <c r="AB98" s="33">
        <f>IF(AQ98="1",BH98,0)</f>
        <v>0</v>
      </c>
      <c r="AC98" s="33">
        <f>IF(AQ98="1",BI98,0)</f>
        <v>0</v>
      </c>
      <c r="AD98" s="33">
        <f>IF(AQ98="7",BH98,0)</f>
        <v>0</v>
      </c>
      <c r="AE98" s="33">
        <f>IF(AQ98="7",BI98,0)</f>
        <v>0</v>
      </c>
      <c r="AF98" s="33">
        <f>IF(AQ98="2",BH98,0)</f>
        <v>0</v>
      </c>
      <c r="AG98" s="33">
        <f>IF(AQ98="2",BI98,0)</f>
        <v>0</v>
      </c>
      <c r="AH98" s="33">
        <f>IF(AQ98="0",BJ98,0)</f>
        <v>0</v>
      </c>
      <c r="AI98" s="28"/>
      <c r="AJ98" s="15">
        <f>IF(AN98=0,K98,0)</f>
        <v>0</v>
      </c>
      <c r="AK98" s="15">
        <f>IF(AN98=15,K98,0)</f>
        <v>0</v>
      </c>
      <c r="AL98" s="15">
        <f>IF(AN98=21,K98,0)</f>
        <v>0</v>
      </c>
      <c r="AN98" s="33">
        <v>21</v>
      </c>
      <c r="AO98" s="33">
        <f>H98*0</f>
        <v>0</v>
      </c>
      <c r="AP98" s="33">
        <f>H98*(1-0)</f>
        <v>0</v>
      </c>
      <c r="AQ98" s="27" t="s">
        <v>13</v>
      </c>
      <c r="AV98" s="33">
        <f>AW98+AX98</f>
        <v>0</v>
      </c>
      <c r="AW98" s="33">
        <f>G98*AO98</f>
        <v>0</v>
      </c>
      <c r="AX98" s="33">
        <f>G98*AP98</f>
        <v>0</v>
      </c>
      <c r="AY98" s="34" t="s">
        <v>278</v>
      </c>
      <c r="AZ98" s="34" t="s">
        <v>289</v>
      </c>
      <c r="BA98" s="28" t="s">
        <v>292</v>
      </c>
      <c r="BC98" s="33">
        <f>AW98+AX98</f>
        <v>0</v>
      </c>
      <c r="BD98" s="33">
        <f>H98/(100-BE98)*100</f>
        <v>0</v>
      </c>
      <c r="BE98" s="33">
        <v>0</v>
      </c>
      <c r="BF98" s="33">
        <f>98</f>
        <v>98</v>
      </c>
      <c r="BH98" s="15">
        <f>G98*AO98</f>
        <v>0</v>
      </c>
      <c r="BI98" s="15">
        <f>G98*AP98</f>
        <v>0</v>
      </c>
      <c r="BJ98" s="15">
        <f>G98*H98</f>
        <v>0</v>
      </c>
    </row>
    <row r="99" spans="3:7" ht="12.75">
      <c r="C99" s="87" t="s">
        <v>194</v>
      </c>
      <c r="D99" s="88"/>
      <c r="E99" s="88"/>
      <c r="G99" s="16">
        <v>6.6</v>
      </c>
    </row>
    <row r="100" spans="1:62" ht="12.75">
      <c r="A100" s="4" t="s">
        <v>40</v>
      </c>
      <c r="B100" s="4" t="s">
        <v>100</v>
      </c>
      <c r="C100" s="85" t="s">
        <v>195</v>
      </c>
      <c r="D100" s="86"/>
      <c r="E100" s="86"/>
      <c r="F100" s="4" t="s">
        <v>234</v>
      </c>
      <c r="G100" s="15">
        <v>5</v>
      </c>
      <c r="H100" s="15">
        <v>0</v>
      </c>
      <c r="I100" s="15">
        <f>G100*AO100</f>
        <v>0</v>
      </c>
      <c r="J100" s="15">
        <f>G100*AP100</f>
        <v>0</v>
      </c>
      <c r="K100" s="15">
        <f>G100*H100</f>
        <v>0</v>
      </c>
      <c r="L100" s="27" t="s">
        <v>259</v>
      </c>
      <c r="Z100" s="33">
        <f>IF(AQ100="5",BJ100,0)</f>
        <v>0</v>
      </c>
      <c r="AB100" s="33">
        <f>IF(AQ100="1",BH100,0)</f>
        <v>0</v>
      </c>
      <c r="AC100" s="33">
        <f>IF(AQ100="1",BI100,0)</f>
        <v>0</v>
      </c>
      <c r="AD100" s="33">
        <f>IF(AQ100="7",BH100,0)</f>
        <v>0</v>
      </c>
      <c r="AE100" s="33">
        <f>IF(AQ100="7",BI100,0)</f>
        <v>0</v>
      </c>
      <c r="AF100" s="33">
        <f>IF(AQ100="2",BH100,0)</f>
        <v>0</v>
      </c>
      <c r="AG100" s="33">
        <f>IF(AQ100="2",BI100,0)</f>
        <v>0</v>
      </c>
      <c r="AH100" s="33">
        <f>IF(AQ100="0",BJ100,0)</f>
        <v>0</v>
      </c>
      <c r="AI100" s="28"/>
      <c r="AJ100" s="15">
        <f>IF(AN100=0,K100,0)</f>
        <v>0</v>
      </c>
      <c r="AK100" s="15">
        <f>IF(AN100=15,K100,0)</f>
        <v>0</v>
      </c>
      <c r="AL100" s="15">
        <f>IF(AN100=21,K100,0)</f>
        <v>0</v>
      </c>
      <c r="AN100" s="33">
        <v>21</v>
      </c>
      <c r="AO100" s="33">
        <f>H100*0</f>
        <v>0</v>
      </c>
      <c r="AP100" s="33">
        <f>H100*(1-0)</f>
        <v>0</v>
      </c>
      <c r="AQ100" s="27" t="s">
        <v>13</v>
      </c>
      <c r="AV100" s="33">
        <f>AW100+AX100</f>
        <v>0</v>
      </c>
      <c r="AW100" s="33">
        <f>G100*AO100</f>
        <v>0</v>
      </c>
      <c r="AX100" s="33">
        <f>G100*AP100</f>
        <v>0</v>
      </c>
      <c r="AY100" s="34" t="s">
        <v>278</v>
      </c>
      <c r="AZ100" s="34" t="s">
        <v>289</v>
      </c>
      <c r="BA100" s="28" t="s">
        <v>292</v>
      </c>
      <c r="BC100" s="33">
        <f>AW100+AX100</f>
        <v>0</v>
      </c>
      <c r="BD100" s="33">
        <f>H100/(100-BE100)*100</f>
        <v>0</v>
      </c>
      <c r="BE100" s="33">
        <v>0</v>
      </c>
      <c r="BF100" s="33">
        <f>100</f>
        <v>100</v>
      </c>
      <c r="BH100" s="15">
        <f>G100*AO100</f>
        <v>0</v>
      </c>
      <c r="BI100" s="15">
        <f>G100*AP100</f>
        <v>0</v>
      </c>
      <c r="BJ100" s="15">
        <f>G100*H100</f>
        <v>0</v>
      </c>
    </row>
    <row r="101" spans="3:7" ht="12.75">
      <c r="C101" s="87" t="s">
        <v>196</v>
      </c>
      <c r="D101" s="88"/>
      <c r="E101" s="88"/>
      <c r="G101" s="16">
        <v>5</v>
      </c>
    </row>
    <row r="102" spans="1:62" ht="12.75">
      <c r="A102" s="6" t="s">
        <v>41</v>
      </c>
      <c r="B102" s="6" t="s">
        <v>101</v>
      </c>
      <c r="C102" s="91" t="s">
        <v>197</v>
      </c>
      <c r="D102" s="92"/>
      <c r="E102" s="92"/>
      <c r="F102" s="6" t="s">
        <v>234</v>
      </c>
      <c r="G102" s="17">
        <v>5</v>
      </c>
      <c r="H102" s="17">
        <v>0</v>
      </c>
      <c r="I102" s="17">
        <f>G102*AO102</f>
        <v>0</v>
      </c>
      <c r="J102" s="17">
        <f>G102*AP102</f>
        <v>0</v>
      </c>
      <c r="K102" s="17">
        <f>G102*H102</f>
        <v>0</v>
      </c>
      <c r="L102" s="29" t="s">
        <v>259</v>
      </c>
      <c r="Z102" s="33">
        <f>IF(AQ102="5",BJ102,0)</f>
        <v>0</v>
      </c>
      <c r="AB102" s="33">
        <f>IF(AQ102="1",BH102,0)</f>
        <v>0</v>
      </c>
      <c r="AC102" s="33">
        <f>IF(AQ102="1",BI102,0)</f>
        <v>0</v>
      </c>
      <c r="AD102" s="33">
        <f>IF(AQ102="7",BH102,0)</f>
        <v>0</v>
      </c>
      <c r="AE102" s="33">
        <f>IF(AQ102="7",BI102,0)</f>
        <v>0</v>
      </c>
      <c r="AF102" s="33">
        <f>IF(AQ102="2",BH102,0)</f>
        <v>0</v>
      </c>
      <c r="AG102" s="33">
        <f>IF(AQ102="2",BI102,0)</f>
        <v>0</v>
      </c>
      <c r="AH102" s="33">
        <f>IF(AQ102="0",BJ102,0)</f>
        <v>0</v>
      </c>
      <c r="AI102" s="28"/>
      <c r="AJ102" s="17">
        <f>IF(AN102=0,K102,0)</f>
        <v>0</v>
      </c>
      <c r="AK102" s="17">
        <f>IF(AN102=15,K102,0)</f>
        <v>0</v>
      </c>
      <c r="AL102" s="17">
        <f>IF(AN102=21,K102,0)</f>
        <v>0</v>
      </c>
      <c r="AN102" s="33">
        <v>21</v>
      </c>
      <c r="AO102" s="33">
        <f>H102*1</f>
        <v>0</v>
      </c>
      <c r="AP102" s="33">
        <f>H102*(1-1)</f>
        <v>0</v>
      </c>
      <c r="AQ102" s="29" t="s">
        <v>13</v>
      </c>
      <c r="AV102" s="33">
        <f>AW102+AX102</f>
        <v>0</v>
      </c>
      <c r="AW102" s="33">
        <f>G102*AO102</f>
        <v>0</v>
      </c>
      <c r="AX102" s="33">
        <f>G102*AP102</f>
        <v>0</v>
      </c>
      <c r="AY102" s="34" t="s">
        <v>278</v>
      </c>
      <c r="AZ102" s="34" t="s">
        <v>289</v>
      </c>
      <c r="BA102" s="28" t="s">
        <v>292</v>
      </c>
      <c r="BC102" s="33">
        <f>AW102+AX102</f>
        <v>0</v>
      </c>
      <c r="BD102" s="33">
        <f>H102/(100-BE102)*100</f>
        <v>0</v>
      </c>
      <c r="BE102" s="33">
        <v>0</v>
      </c>
      <c r="BF102" s="33">
        <f>102</f>
        <v>102</v>
      </c>
      <c r="BH102" s="17">
        <f>G102*AO102</f>
        <v>0</v>
      </c>
      <c r="BI102" s="17">
        <f>G102*AP102</f>
        <v>0</v>
      </c>
      <c r="BJ102" s="17">
        <f>G102*H102</f>
        <v>0</v>
      </c>
    </row>
    <row r="103" spans="3:7" ht="12.75">
      <c r="C103" s="87" t="s">
        <v>196</v>
      </c>
      <c r="D103" s="88"/>
      <c r="E103" s="88"/>
      <c r="G103" s="16">
        <v>5</v>
      </c>
    </row>
    <row r="104" spans="1:47" ht="12.75">
      <c r="A104" s="5"/>
      <c r="B104" s="13" t="s">
        <v>102</v>
      </c>
      <c r="C104" s="89" t="s">
        <v>198</v>
      </c>
      <c r="D104" s="90"/>
      <c r="E104" s="90"/>
      <c r="F104" s="5" t="s">
        <v>6</v>
      </c>
      <c r="G104" s="5" t="s">
        <v>6</v>
      </c>
      <c r="H104" s="5" t="s">
        <v>6</v>
      </c>
      <c r="I104" s="36">
        <f>SUM(I105:I105)</f>
        <v>0</v>
      </c>
      <c r="J104" s="36">
        <f>SUM(J105:J105)</f>
        <v>0</v>
      </c>
      <c r="K104" s="36">
        <f>SUM(K105:K105)</f>
        <v>0</v>
      </c>
      <c r="L104" s="28"/>
      <c r="AI104" s="28"/>
      <c r="AS104" s="36">
        <f>SUM(AJ105:AJ105)</f>
        <v>0</v>
      </c>
      <c r="AT104" s="36">
        <f>SUM(AK105:AK105)</f>
        <v>0</v>
      </c>
      <c r="AU104" s="36">
        <f>SUM(AL105:AL105)</f>
        <v>0</v>
      </c>
    </row>
    <row r="105" spans="1:62" ht="12.75">
      <c r="A105" s="4" t="s">
        <v>42</v>
      </c>
      <c r="B105" s="4" t="s">
        <v>103</v>
      </c>
      <c r="C105" s="85" t="s">
        <v>199</v>
      </c>
      <c r="D105" s="86"/>
      <c r="E105" s="86"/>
      <c r="F105" s="4" t="s">
        <v>237</v>
      </c>
      <c r="G105" s="15">
        <v>14.4</v>
      </c>
      <c r="H105" s="15">
        <v>0</v>
      </c>
      <c r="I105" s="15">
        <f>G105*AO105</f>
        <v>0</v>
      </c>
      <c r="J105" s="15">
        <f>G105*AP105</f>
        <v>0</v>
      </c>
      <c r="K105" s="15">
        <f>G105*H105</f>
        <v>0</v>
      </c>
      <c r="L105" s="27" t="s">
        <v>259</v>
      </c>
      <c r="Z105" s="33">
        <f>IF(AQ105="5",BJ105,0)</f>
        <v>0</v>
      </c>
      <c r="AB105" s="33">
        <f>IF(AQ105="1",BH105,0)</f>
        <v>0</v>
      </c>
      <c r="AC105" s="33">
        <f>IF(AQ105="1",BI105,0)</f>
        <v>0</v>
      </c>
      <c r="AD105" s="33">
        <f>IF(AQ105="7",BH105,0)</f>
        <v>0</v>
      </c>
      <c r="AE105" s="33">
        <f>IF(AQ105="7",BI105,0)</f>
        <v>0</v>
      </c>
      <c r="AF105" s="33">
        <f>IF(AQ105="2",BH105,0)</f>
        <v>0</v>
      </c>
      <c r="AG105" s="33">
        <f>IF(AQ105="2",BI105,0)</f>
        <v>0</v>
      </c>
      <c r="AH105" s="33">
        <f>IF(AQ105="0",BJ105,0)</f>
        <v>0</v>
      </c>
      <c r="AI105" s="28"/>
      <c r="AJ105" s="15">
        <f>IF(AN105=0,K105,0)</f>
        <v>0</v>
      </c>
      <c r="AK105" s="15">
        <f>IF(AN105=15,K105,0)</f>
        <v>0</v>
      </c>
      <c r="AL105" s="15">
        <f>IF(AN105=21,K105,0)</f>
        <v>0</v>
      </c>
      <c r="AN105" s="33">
        <v>21</v>
      </c>
      <c r="AO105" s="33">
        <f>H105*0.0648183556405354</f>
        <v>0</v>
      </c>
      <c r="AP105" s="33">
        <f>H105*(1-0.0648183556405354)</f>
        <v>0</v>
      </c>
      <c r="AQ105" s="27" t="s">
        <v>13</v>
      </c>
      <c r="AV105" s="33">
        <f>AW105+AX105</f>
        <v>0</v>
      </c>
      <c r="AW105" s="33">
        <f>G105*AO105</f>
        <v>0</v>
      </c>
      <c r="AX105" s="33">
        <f>G105*AP105</f>
        <v>0</v>
      </c>
      <c r="AY105" s="34" t="s">
        <v>279</v>
      </c>
      <c r="AZ105" s="34" t="s">
        <v>290</v>
      </c>
      <c r="BA105" s="28" t="s">
        <v>292</v>
      </c>
      <c r="BC105" s="33">
        <f>AW105+AX105</f>
        <v>0</v>
      </c>
      <c r="BD105" s="33">
        <f>H105/(100-BE105)*100</f>
        <v>0</v>
      </c>
      <c r="BE105" s="33">
        <v>0</v>
      </c>
      <c r="BF105" s="33">
        <f>105</f>
        <v>105</v>
      </c>
      <c r="BH105" s="15">
        <f>G105*AO105</f>
        <v>0</v>
      </c>
      <c r="BI105" s="15">
        <f>G105*AP105</f>
        <v>0</v>
      </c>
      <c r="BJ105" s="15">
        <f>G105*H105</f>
        <v>0</v>
      </c>
    </row>
    <row r="106" spans="3:7" ht="12.75">
      <c r="C106" s="87" t="s">
        <v>200</v>
      </c>
      <c r="D106" s="88"/>
      <c r="E106" s="88"/>
      <c r="G106" s="16">
        <v>14.4</v>
      </c>
    </row>
    <row r="107" spans="1:47" ht="12.75">
      <c r="A107" s="5"/>
      <c r="B107" s="13" t="s">
        <v>104</v>
      </c>
      <c r="C107" s="89" t="s">
        <v>201</v>
      </c>
      <c r="D107" s="90"/>
      <c r="E107" s="90"/>
      <c r="F107" s="5" t="s">
        <v>6</v>
      </c>
      <c r="G107" s="5" t="s">
        <v>6</v>
      </c>
      <c r="H107" s="5" t="s">
        <v>6</v>
      </c>
      <c r="I107" s="36">
        <f>SUM(I108:I108)</f>
        <v>0</v>
      </c>
      <c r="J107" s="36">
        <f>SUM(J108:J108)</f>
        <v>0</v>
      </c>
      <c r="K107" s="36">
        <f>SUM(K108:K108)</f>
        <v>0</v>
      </c>
      <c r="L107" s="28"/>
      <c r="AI107" s="28"/>
      <c r="AS107" s="36">
        <f>SUM(AJ108:AJ108)</f>
        <v>0</v>
      </c>
      <c r="AT107" s="36">
        <f>SUM(AK108:AK108)</f>
        <v>0</v>
      </c>
      <c r="AU107" s="36">
        <f>SUM(AL108:AL108)</f>
        <v>0</v>
      </c>
    </row>
    <row r="108" spans="1:62" ht="12.75">
      <c r="A108" s="4" t="s">
        <v>43</v>
      </c>
      <c r="B108" s="4" t="s">
        <v>105</v>
      </c>
      <c r="C108" s="85" t="s">
        <v>202</v>
      </c>
      <c r="D108" s="86"/>
      <c r="E108" s="86"/>
      <c r="F108" s="4" t="s">
        <v>237</v>
      </c>
      <c r="G108" s="15">
        <v>87.5</v>
      </c>
      <c r="H108" s="15">
        <v>0</v>
      </c>
      <c r="I108" s="15">
        <f>G108*AO108</f>
        <v>0</v>
      </c>
      <c r="J108" s="15">
        <f>G108*AP108</f>
        <v>0</v>
      </c>
      <c r="K108" s="15">
        <f>G108*H108</f>
        <v>0</v>
      </c>
      <c r="L108" s="27" t="s">
        <v>259</v>
      </c>
      <c r="Z108" s="33">
        <f>IF(AQ108="5",BJ108,0)</f>
        <v>0</v>
      </c>
      <c r="AB108" s="33">
        <f>IF(AQ108="1",BH108,0)</f>
        <v>0</v>
      </c>
      <c r="AC108" s="33">
        <f>IF(AQ108="1",BI108,0)</f>
        <v>0</v>
      </c>
      <c r="AD108" s="33">
        <f>IF(AQ108="7",BH108,0)</f>
        <v>0</v>
      </c>
      <c r="AE108" s="33">
        <f>IF(AQ108="7",BI108,0)</f>
        <v>0</v>
      </c>
      <c r="AF108" s="33">
        <f>IF(AQ108="2",BH108,0)</f>
        <v>0</v>
      </c>
      <c r="AG108" s="33">
        <f>IF(AQ108="2",BI108,0)</f>
        <v>0</v>
      </c>
      <c r="AH108" s="33">
        <f>IF(AQ108="0",BJ108,0)</f>
        <v>0</v>
      </c>
      <c r="AI108" s="28"/>
      <c r="AJ108" s="15">
        <f>IF(AN108=0,K108,0)</f>
        <v>0</v>
      </c>
      <c r="AK108" s="15">
        <f>IF(AN108=15,K108,0)</f>
        <v>0</v>
      </c>
      <c r="AL108" s="15">
        <f>IF(AN108=21,K108,0)</f>
        <v>0</v>
      </c>
      <c r="AN108" s="33">
        <v>21</v>
      </c>
      <c r="AO108" s="33">
        <f>H108*0.00148698884758364</f>
        <v>0</v>
      </c>
      <c r="AP108" s="33">
        <f>H108*(1-0.00148698884758364)</f>
        <v>0</v>
      </c>
      <c r="AQ108" s="27" t="s">
        <v>7</v>
      </c>
      <c r="AV108" s="33">
        <f>AW108+AX108</f>
        <v>0</v>
      </c>
      <c r="AW108" s="33">
        <f>G108*AO108</f>
        <v>0</v>
      </c>
      <c r="AX108" s="33">
        <f>G108*AP108</f>
        <v>0</v>
      </c>
      <c r="AY108" s="34" t="s">
        <v>280</v>
      </c>
      <c r="AZ108" s="34" t="s">
        <v>291</v>
      </c>
      <c r="BA108" s="28" t="s">
        <v>292</v>
      </c>
      <c r="BC108" s="33">
        <f>AW108+AX108</f>
        <v>0</v>
      </c>
      <c r="BD108" s="33">
        <f>H108/(100-BE108)*100</f>
        <v>0</v>
      </c>
      <c r="BE108" s="33">
        <v>0</v>
      </c>
      <c r="BF108" s="33">
        <f>108</f>
        <v>108</v>
      </c>
      <c r="BH108" s="15">
        <f>G108*AO108</f>
        <v>0</v>
      </c>
      <c r="BI108" s="15">
        <f>G108*AP108</f>
        <v>0</v>
      </c>
      <c r="BJ108" s="15">
        <f>G108*H108</f>
        <v>0</v>
      </c>
    </row>
    <row r="109" spans="3:7" ht="12.75">
      <c r="C109" s="87" t="s">
        <v>148</v>
      </c>
      <c r="D109" s="88"/>
      <c r="E109" s="88"/>
      <c r="G109" s="16">
        <v>87.5</v>
      </c>
    </row>
    <row r="110" spans="1:47" ht="12.75">
      <c r="A110" s="5"/>
      <c r="B110" s="13" t="s">
        <v>106</v>
      </c>
      <c r="C110" s="89" t="s">
        <v>203</v>
      </c>
      <c r="D110" s="90"/>
      <c r="E110" s="90"/>
      <c r="F110" s="5" t="s">
        <v>6</v>
      </c>
      <c r="G110" s="5" t="s">
        <v>6</v>
      </c>
      <c r="H110" s="5" t="s">
        <v>6</v>
      </c>
      <c r="I110" s="36">
        <f>SUM(I111:I111)</f>
        <v>0</v>
      </c>
      <c r="J110" s="36">
        <f>SUM(J111:J111)</f>
        <v>0</v>
      </c>
      <c r="K110" s="36">
        <f>SUM(K111:K111)</f>
        <v>0</v>
      </c>
      <c r="L110" s="28"/>
      <c r="AI110" s="28"/>
      <c r="AS110" s="36">
        <f>SUM(AJ111:AJ111)</f>
        <v>0</v>
      </c>
      <c r="AT110" s="36">
        <f>SUM(AK111:AK111)</f>
        <v>0</v>
      </c>
      <c r="AU110" s="36">
        <f>SUM(AL111:AL111)</f>
        <v>0</v>
      </c>
    </row>
    <row r="111" spans="1:62" ht="12.75">
      <c r="A111" s="4" t="s">
        <v>44</v>
      </c>
      <c r="B111" s="4" t="s">
        <v>107</v>
      </c>
      <c r="C111" s="85" t="s">
        <v>204</v>
      </c>
      <c r="D111" s="86"/>
      <c r="E111" s="86"/>
      <c r="F111" s="4" t="s">
        <v>237</v>
      </c>
      <c r="G111" s="15">
        <v>4.425</v>
      </c>
      <c r="H111" s="15">
        <v>0</v>
      </c>
      <c r="I111" s="15">
        <f>G111*AO111</f>
        <v>0</v>
      </c>
      <c r="J111" s="15">
        <f>G111*AP111</f>
        <v>0</v>
      </c>
      <c r="K111" s="15">
        <f>G111*H111</f>
        <v>0</v>
      </c>
      <c r="L111" s="27" t="s">
        <v>259</v>
      </c>
      <c r="Z111" s="33">
        <f>IF(AQ111="5",BJ111,0)</f>
        <v>0</v>
      </c>
      <c r="AB111" s="33">
        <f>IF(AQ111="1",BH111,0)</f>
        <v>0</v>
      </c>
      <c r="AC111" s="33">
        <f>IF(AQ111="1",BI111,0)</f>
        <v>0</v>
      </c>
      <c r="AD111" s="33">
        <f>IF(AQ111="7",BH111,0)</f>
        <v>0</v>
      </c>
      <c r="AE111" s="33">
        <f>IF(AQ111="7",BI111,0)</f>
        <v>0</v>
      </c>
      <c r="AF111" s="33">
        <f>IF(AQ111="2",BH111,0)</f>
        <v>0</v>
      </c>
      <c r="AG111" s="33">
        <f>IF(AQ111="2",BI111,0)</f>
        <v>0</v>
      </c>
      <c r="AH111" s="33">
        <f>IF(AQ111="0",BJ111,0)</f>
        <v>0</v>
      </c>
      <c r="AI111" s="28"/>
      <c r="AJ111" s="15">
        <f>IF(AN111=0,K111,0)</f>
        <v>0</v>
      </c>
      <c r="AK111" s="15">
        <f>IF(AN111=15,K111,0)</f>
        <v>0</v>
      </c>
      <c r="AL111" s="15">
        <f>IF(AN111=21,K111,0)</f>
        <v>0</v>
      </c>
      <c r="AN111" s="33">
        <v>21</v>
      </c>
      <c r="AO111" s="33">
        <f>H111*0</f>
        <v>0</v>
      </c>
      <c r="AP111" s="33">
        <f>H111*(1-0)</f>
        <v>0</v>
      </c>
      <c r="AQ111" s="27" t="s">
        <v>7</v>
      </c>
      <c r="AV111" s="33">
        <f>AW111+AX111</f>
        <v>0</v>
      </c>
      <c r="AW111" s="33">
        <f>G111*AO111</f>
        <v>0</v>
      </c>
      <c r="AX111" s="33">
        <f>G111*AP111</f>
        <v>0</v>
      </c>
      <c r="AY111" s="34" t="s">
        <v>281</v>
      </c>
      <c r="AZ111" s="34" t="s">
        <v>291</v>
      </c>
      <c r="BA111" s="28" t="s">
        <v>292</v>
      </c>
      <c r="BC111" s="33">
        <f>AW111+AX111</f>
        <v>0</v>
      </c>
      <c r="BD111" s="33">
        <f>H111/(100-BE111)*100</f>
        <v>0</v>
      </c>
      <c r="BE111" s="33">
        <v>0</v>
      </c>
      <c r="BF111" s="33">
        <f>111</f>
        <v>111</v>
      </c>
      <c r="BH111" s="15">
        <f>G111*AO111</f>
        <v>0</v>
      </c>
      <c r="BI111" s="15">
        <f>G111*AP111</f>
        <v>0</v>
      </c>
      <c r="BJ111" s="15">
        <f>G111*H111</f>
        <v>0</v>
      </c>
    </row>
    <row r="112" spans="3:7" ht="12.75">
      <c r="C112" s="87" t="s">
        <v>205</v>
      </c>
      <c r="D112" s="88"/>
      <c r="E112" s="88"/>
      <c r="G112" s="16">
        <v>4.425</v>
      </c>
    </row>
    <row r="113" spans="1:47" ht="12.75">
      <c r="A113" s="5"/>
      <c r="B113" s="13" t="s">
        <v>108</v>
      </c>
      <c r="C113" s="89" t="s">
        <v>206</v>
      </c>
      <c r="D113" s="90"/>
      <c r="E113" s="90"/>
      <c r="F113" s="5" t="s">
        <v>6</v>
      </c>
      <c r="G113" s="5" t="s">
        <v>6</v>
      </c>
      <c r="H113" s="5" t="s">
        <v>6</v>
      </c>
      <c r="I113" s="36">
        <f>SUM(I114:I114)</f>
        <v>0</v>
      </c>
      <c r="J113" s="36">
        <f>SUM(J114:J114)</f>
        <v>0</v>
      </c>
      <c r="K113" s="36">
        <f>SUM(K114:K114)</f>
        <v>0</v>
      </c>
      <c r="L113" s="28"/>
      <c r="AI113" s="28"/>
      <c r="AS113" s="36">
        <f>SUM(AJ114:AJ114)</f>
        <v>0</v>
      </c>
      <c r="AT113" s="36">
        <f>SUM(AK114:AK114)</f>
        <v>0</v>
      </c>
      <c r="AU113" s="36">
        <f>SUM(AL114:AL114)</f>
        <v>0</v>
      </c>
    </row>
    <row r="114" spans="1:62" ht="12.75">
      <c r="A114" s="4" t="s">
        <v>45</v>
      </c>
      <c r="B114" s="4" t="s">
        <v>109</v>
      </c>
      <c r="C114" s="85" t="s">
        <v>207</v>
      </c>
      <c r="D114" s="86"/>
      <c r="E114" s="86"/>
      <c r="F114" s="4" t="s">
        <v>239</v>
      </c>
      <c r="G114" s="15">
        <v>3.4515</v>
      </c>
      <c r="H114" s="15">
        <v>0</v>
      </c>
      <c r="I114" s="15">
        <f>G114*AO114</f>
        <v>0</v>
      </c>
      <c r="J114" s="15">
        <f>G114*AP114</f>
        <v>0</v>
      </c>
      <c r="K114" s="15">
        <f>G114*H114</f>
        <v>0</v>
      </c>
      <c r="L114" s="27" t="s">
        <v>259</v>
      </c>
      <c r="Z114" s="33">
        <f>IF(AQ114="5",BJ114,0)</f>
        <v>0</v>
      </c>
      <c r="AB114" s="33">
        <f>IF(AQ114="1",BH114,0)</f>
        <v>0</v>
      </c>
      <c r="AC114" s="33">
        <f>IF(AQ114="1",BI114,0)</f>
        <v>0</v>
      </c>
      <c r="AD114" s="33">
        <f>IF(AQ114="7",BH114,0)</f>
        <v>0</v>
      </c>
      <c r="AE114" s="33">
        <f>IF(AQ114="7",BI114,0)</f>
        <v>0</v>
      </c>
      <c r="AF114" s="33">
        <f>IF(AQ114="2",BH114,0)</f>
        <v>0</v>
      </c>
      <c r="AG114" s="33">
        <f>IF(AQ114="2",BI114,0)</f>
        <v>0</v>
      </c>
      <c r="AH114" s="33">
        <f>IF(AQ114="0",BJ114,0)</f>
        <v>0</v>
      </c>
      <c r="AI114" s="28"/>
      <c r="AJ114" s="15">
        <f>IF(AN114=0,K114,0)</f>
        <v>0</v>
      </c>
      <c r="AK114" s="15">
        <f>IF(AN114=15,K114,0)</f>
        <v>0</v>
      </c>
      <c r="AL114" s="15">
        <f>IF(AN114=21,K114,0)</f>
        <v>0</v>
      </c>
      <c r="AN114" s="33">
        <v>21</v>
      </c>
      <c r="AO114" s="33">
        <f>H114*0</f>
        <v>0</v>
      </c>
      <c r="AP114" s="33">
        <f>H114*(1-0)</f>
        <v>0</v>
      </c>
      <c r="AQ114" s="27" t="s">
        <v>11</v>
      </c>
      <c r="AV114" s="33">
        <f>AW114+AX114</f>
        <v>0</v>
      </c>
      <c r="AW114" s="33">
        <f>G114*AO114</f>
        <v>0</v>
      </c>
      <c r="AX114" s="33">
        <f>G114*AP114</f>
        <v>0</v>
      </c>
      <c r="AY114" s="34" t="s">
        <v>282</v>
      </c>
      <c r="AZ114" s="34" t="s">
        <v>291</v>
      </c>
      <c r="BA114" s="28" t="s">
        <v>292</v>
      </c>
      <c r="BC114" s="33">
        <f>AW114+AX114</f>
        <v>0</v>
      </c>
      <c r="BD114" s="33">
        <f>H114/(100-BE114)*100</f>
        <v>0</v>
      </c>
      <c r="BE114" s="33">
        <v>0</v>
      </c>
      <c r="BF114" s="33">
        <f>114</f>
        <v>114</v>
      </c>
      <c r="BH114" s="15">
        <f>G114*AO114</f>
        <v>0</v>
      </c>
      <c r="BI114" s="15">
        <f>G114*AP114</f>
        <v>0</v>
      </c>
      <c r="BJ114" s="15">
        <f>G114*H114</f>
        <v>0</v>
      </c>
    </row>
    <row r="115" spans="3:7" ht="12.75">
      <c r="C115" s="87" t="s">
        <v>208</v>
      </c>
      <c r="D115" s="88"/>
      <c r="E115" s="88"/>
      <c r="G115" s="16">
        <v>3.4515</v>
      </c>
    </row>
    <row r="116" spans="1:47" ht="12.75">
      <c r="A116" s="5"/>
      <c r="B116" s="13" t="s">
        <v>110</v>
      </c>
      <c r="C116" s="89" t="s">
        <v>209</v>
      </c>
      <c r="D116" s="90"/>
      <c r="E116" s="90"/>
      <c r="F116" s="5" t="s">
        <v>6</v>
      </c>
      <c r="G116" s="5" t="s">
        <v>6</v>
      </c>
      <c r="H116" s="5" t="s">
        <v>6</v>
      </c>
      <c r="I116" s="36">
        <f>SUM(I117:I131)</f>
        <v>0</v>
      </c>
      <c r="J116" s="36">
        <f>SUM(J117:J131)</f>
        <v>0</v>
      </c>
      <c r="K116" s="36">
        <f>SUM(K117:K131)</f>
        <v>0</v>
      </c>
      <c r="L116" s="28"/>
      <c r="AI116" s="28"/>
      <c r="AS116" s="36">
        <f>SUM(AJ117:AJ131)</f>
        <v>0</v>
      </c>
      <c r="AT116" s="36">
        <f>SUM(AK117:AK131)</f>
        <v>0</v>
      </c>
      <c r="AU116" s="36">
        <f>SUM(AL117:AL131)</f>
        <v>0</v>
      </c>
    </row>
    <row r="117" spans="1:62" ht="12.75">
      <c r="A117" s="4" t="s">
        <v>46</v>
      </c>
      <c r="B117" s="4" t="s">
        <v>111</v>
      </c>
      <c r="C117" s="85" t="s">
        <v>210</v>
      </c>
      <c r="D117" s="86"/>
      <c r="E117" s="86"/>
      <c r="F117" s="4" t="s">
        <v>239</v>
      </c>
      <c r="G117" s="15">
        <v>2.05491</v>
      </c>
      <c r="H117" s="15">
        <v>0</v>
      </c>
      <c r="I117" s="15">
        <f>G117*AO117</f>
        <v>0</v>
      </c>
      <c r="J117" s="15">
        <f>G117*AP117</f>
        <v>0</v>
      </c>
      <c r="K117" s="15">
        <f>G117*H117</f>
        <v>0</v>
      </c>
      <c r="L117" s="27" t="s">
        <v>259</v>
      </c>
      <c r="Z117" s="33">
        <f>IF(AQ117="5",BJ117,0)</f>
        <v>0</v>
      </c>
      <c r="AB117" s="33">
        <f>IF(AQ117="1",BH117,0)</f>
        <v>0</v>
      </c>
      <c r="AC117" s="33">
        <f>IF(AQ117="1",BI117,0)</f>
        <v>0</v>
      </c>
      <c r="AD117" s="33">
        <f>IF(AQ117="7",BH117,0)</f>
        <v>0</v>
      </c>
      <c r="AE117" s="33">
        <f>IF(AQ117="7",BI117,0)</f>
        <v>0</v>
      </c>
      <c r="AF117" s="33">
        <f>IF(AQ117="2",BH117,0)</f>
        <v>0</v>
      </c>
      <c r="AG117" s="33">
        <f>IF(AQ117="2",BI117,0)</f>
        <v>0</v>
      </c>
      <c r="AH117" s="33">
        <f>IF(AQ117="0",BJ117,0)</f>
        <v>0</v>
      </c>
      <c r="AI117" s="28"/>
      <c r="AJ117" s="15">
        <f>IF(AN117=0,K117,0)</f>
        <v>0</v>
      </c>
      <c r="AK117" s="15">
        <f>IF(AN117=15,K117,0)</f>
        <v>0</v>
      </c>
      <c r="AL117" s="15">
        <f>IF(AN117=21,K117,0)</f>
        <v>0</v>
      </c>
      <c r="AN117" s="33">
        <v>21</v>
      </c>
      <c r="AO117" s="33">
        <f>H117*0</f>
        <v>0</v>
      </c>
      <c r="AP117" s="33">
        <f>H117*(1-0)</f>
        <v>0</v>
      </c>
      <c r="AQ117" s="27" t="s">
        <v>11</v>
      </c>
      <c r="AV117" s="33">
        <f>AW117+AX117</f>
        <v>0</v>
      </c>
      <c r="AW117" s="33">
        <f>G117*AO117</f>
        <v>0</v>
      </c>
      <c r="AX117" s="33">
        <f>G117*AP117</f>
        <v>0</v>
      </c>
      <c r="AY117" s="34" t="s">
        <v>283</v>
      </c>
      <c r="AZ117" s="34" t="s">
        <v>291</v>
      </c>
      <c r="BA117" s="28" t="s">
        <v>292</v>
      </c>
      <c r="BC117" s="33">
        <f>AW117+AX117</f>
        <v>0</v>
      </c>
      <c r="BD117" s="33">
        <f>H117/(100-BE117)*100</f>
        <v>0</v>
      </c>
      <c r="BE117" s="33">
        <v>0</v>
      </c>
      <c r="BF117" s="33">
        <f>117</f>
        <v>117</v>
      </c>
      <c r="BH117" s="15">
        <f>G117*AO117</f>
        <v>0</v>
      </c>
      <c r="BI117" s="15">
        <f>G117*AP117</f>
        <v>0</v>
      </c>
      <c r="BJ117" s="15">
        <f>G117*H117</f>
        <v>0</v>
      </c>
    </row>
    <row r="118" spans="3:7" ht="12.75">
      <c r="C118" s="87" t="s">
        <v>211</v>
      </c>
      <c r="D118" s="88"/>
      <c r="E118" s="88"/>
      <c r="G118" s="16">
        <v>2.05491</v>
      </c>
    </row>
    <row r="119" spans="1:62" ht="12.75">
      <c r="A119" s="4" t="s">
        <v>47</v>
      </c>
      <c r="B119" s="4" t="s">
        <v>112</v>
      </c>
      <c r="C119" s="85" t="s">
        <v>212</v>
      </c>
      <c r="D119" s="86"/>
      <c r="E119" s="86"/>
      <c r="F119" s="4" t="s">
        <v>239</v>
      </c>
      <c r="G119" s="15">
        <v>2.05491</v>
      </c>
      <c r="H119" s="15">
        <v>0</v>
      </c>
      <c r="I119" s="15">
        <f>G119*AO119</f>
        <v>0</v>
      </c>
      <c r="J119" s="15">
        <f>G119*AP119</f>
        <v>0</v>
      </c>
      <c r="K119" s="15">
        <f>G119*H119</f>
        <v>0</v>
      </c>
      <c r="L119" s="27" t="s">
        <v>259</v>
      </c>
      <c r="Z119" s="33">
        <f>IF(AQ119="5",BJ119,0)</f>
        <v>0</v>
      </c>
      <c r="AB119" s="33">
        <f>IF(AQ119="1",BH119,0)</f>
        <v>0</v>
      </c>
      <c r="AC119" s="33">
        <f>IF(AQ119="1",BI119,0)</f>
        <v>0</v>
      </c>
      <c r="AD119" s="33">
        <f>IF(AQ119="7",BH119,0)</f>
        <v>0</v>
      </c>
      <c r="AE119" s="33">
        <f>IF(AQ119="7",BI119,0)</f>
        <v>0</v>
      </c>
      <c r="AF119" s="33">
        <f>IF(AQ119="2",BH119,0)</f>
        <v>0</v>
      </c>
      <c r="AG119" s="33">
        <f>IF(AQ119="2",BI119,0)</f>
        <v>0</v>
      </c>
      <c r="AH119" s="33">
        <f>IF(AQ119="0",BJ119,0)</f>
        <v>0</v>
      </c>
      <c r="AI119" s="28"/>
      <c r="AJ119" s="15">
        <f>IF(AN119=0,K119,0)</f>
        <v>0</v>
      </c>
      <c r="AK119" s="15">
        <f>IF(AN119=15,K119,0)</f>
        <v>0</v>
      </c>
      <c r="AL119" s="15">
        <f>IF(AN119=21,K119,0)</f>
        <v>0</v>
      </c>
      <c r="AN119" s="33">
        <v>21</v>
      </c>
      <c r="AO119" s="33">
        <f>H119*0</f>
        <v>0</v>
      </c>
      <c r="AP119" s="33">
        <f>H119*(1-0)</f>
        <v>0</v>
      </c>
      <c r="AQ119" s="27" t="s">
        <v>11</v>
      </c>
      <c r="AV119" s="33">
        <f>AW119+AX119</f>
        <v>0</v>
      </c>
      <c r="AW119" s="33">
        <f>G119*AO119</f>
        <v>0</v>
      </c>
      <c r="AX119" s="33">
        <f>G119*AP119</f>
        <v>0</v>
      </c>
      <c r="AY119" s="34" t="s">
        <v>283</v>
      </c>
      <c r="AZ119" s="34" t="s">
        <v>291</v>
      </c>
      <c r="BA119" s="28" t="s">
        <v>292</v>
      </c>
      <c r="BC119" s="33">
        <f>AW119+AX119</f>
        <v>0</v>
      </c>
      <c r="BD119" s="33">
        <f>H119/(100-BE119)*100</f>
        <v>0</v>
      </c>
      <c r="BE119" s="33">
        <v>0</v>
      </c>
      <c r="BF119" s="33">
        <f>119</f>
        <v>119</v>
      </c>
      <c r="BH119" s="15">
        <f>G119*AO119</f>
        <v>0</v>
      </c>
      <c r="BI119" s="15">
        <f>G119*AP119</f>
        <v>0</v>
      </c>
      <c r="BJ119" s="15">
        <f>G119*H119</f>
        <v>0</v>
      </c>
    </row>
    <row r="120" spans="3:7" ht="12.75">
      <c r="C120" s="87" t="s">
        <v>211</v>
      </c>
      <c r="D120" s="88"/>
      <c r="E120" s="88"/>
      <c r="G120" s="16">
        <v>2.05491</v>
      </c>
    </row>
    <row r="121" spans="1:62" ht="12.75">
      <c r="A121" s="4" t="s">
        <v>48</v>
      </c>
      <c r="B121" s="4" t="s">
        <v>113</v>
      </c>
      <c r="C121" s="85" t="s">
        <v>213</v>
      </c>
      <c r="D121" s="86"/>
      <c r="E121" s="86"/>
      <c r="F121" s="4" t="s">
        <v>239</v>
      </c>
      <c r="G121" s="15">
        <v>2.05491</v>
      </c>
      <c r="H121" s="15">
        <v>0</v>
      </c>
      <c r="I121" s="15">
        <f>G121*AO121</f>
        <v>0</v>
      </c>
      <c r="J121" s="15">
        <f>G121*AP121</f>
        <v>0</v>
      </c>
      <c r="K121" s="15">
        <f>G121*H121</f>
        <v>0</v>
      </c>
      <c r="L121" s="27" t="s">
        <v>259</v>
      </c>
      <c r="Z121" s="33">
        <f>IF(AQ121="5",BJ121,0)</f>
        <v>0</v>
      </c>
      <c r="AB121" s="33">
        <f>IF(AQ121="1",BH121,0)</f>
        <v>0</v>
      </c>
      <c r="AC121" s="33">
        <f>IF(AQ121="1",BI121,0)</f>
        <v>0</v>
      </c>
      <c r="AD121" s="33">
        <f>IF(AQ121="7",BH121,0)</f>
        <v>0</v>
      </c>
      <c r="AE121" s="33">
        <f>IF(AQ121="7",BI121,0)</f>
        <v>0</v>
      </c>
      <c r="AF121" s="33">
        <f>IF(AQ121="2",BH121,0)</f>
        <v>0</v>
      </c>
      <c r="AG121" s="33">
        <f>IF(AQ121="2",BI121,0)</f>
        <v>0</v>
      </c>
      <c r="AH121" s="33">
        <f>IF(AQ121="0",BJ121,0)</f>
        <v>0</v>
      </c>
      <c r="AI121" s="28"/>
      <c r="AJ121" s="15">
        <f>IF(AN121=0,K121,0)</f>
        <v>0</v>
      </c>
      <c r="AK121" s="15">
        <f>IF(AN121=15,K121,0)</f>
        <v>0</v>
      </c>
      <c r="AL121" s="15">
        <f>IF(AN121=21,K121,0)</f>
        <v>0</v>
      </c>
      <c r="AN121" s="33">
        <v>21</v>
      </c>
      <c r="AO121" s="33">
        <f>H121*0</f>
        <v>0</v>
      </c>
      <c r="AP121" s="33">
        <f>H121*(1-0)</f>
        <v>0</v>
      </c>
      <c r="AQ121" s="27" t="s">
        <v>11</v>
      </c>
      <c r="AV121" s="33">
        <f>AW121+AX121</f>
        <v>0</v>
      </c>
      <c r="AW121" s="33">
        <f>G121*AO121</f>
        <v>0</v>
      </c>
      <c r="AX121" s="33">
        <f>G121*AP121</f>
        <v>0</v>
      </c>
      <c r="AY121" s="34" t="s">
        <v>283</v>
      </c>
      <c r="AZ121" s="34" t="s">
        <v>291</v>
      </c>
      <c r="BA121" s="28" t="s">
        <v>292</v>
      </c>
      <c r="BC121" s="33">
        <f>AW121+AX121</f>
        <v>0</v>
      </c>
      <c r="BD121" s="33">
        <f>H121/(100-BE121)*100</f>
        <v>0</v>
      </c>
      <c r="BE121" s="33">
        <v>0</v>
      </c>
      <c r="BF121" s="33">
        <f>121</f>
        <v>121</v>
      </c>
      <c r="BH121" s="15">
        <f>G121*AO121</f>
        <v>0</v>
      </c>
      <c r="BI121" s="15">
        <f>G121*AP121</f>
        <v>0</v>
      </c>
      <c r="BJ121" s="15">
        <f>G121*H121</f>
        <v>0</v>
      </c>
    </row>
    <row r="122" spans="3:7" ht="12.75">
      <c r="C122" s="87" t="s">
        <v>211</v>
      </c>
      <c r="D122" s="88"/>
      <c r="E122" s="88"/>
      <c r="G122" s="16">
        <v>2.05491</v>
      </c>
    </row>
    <row r="123" spans="1:62" ht="12.75">
      <c r="A123" s="4" t="s">
        <v>49</v>
      </c>
      <c r="B123" s="4" t="s">
        <v>114</v>
      </c>
      <c r="C123" s="85" t="s">
        <v>214</v>
      </c>
      <c r="D123" s="86"/>
      <c r="E123" s="86"/>
      <c r="F123" s="4" t="s">
        <v>239</v>
      </c>
      <c r="G123" s="15">
        <v>2.05491</v>
      </c>
      <c r="H123" s="15">
        <v>0</v>
      </c>
      <c r="I123" s="15">
        <f>G123*AO123</f>
        <v>0</v>
      </c>
      <c r="J123" s="15">
        <f>G123*AP123</f>
        <v>0</v>
      </c>
      <c r="K123" s="15">
        <f>G123*H123</f>
        <v>0</v>
      </c>
      <c r="L123" s="27" t="s">
        <v>259</v>
      </c>
      <c r="Z123" s="33">
        <f>IF(AQ123="5",BJ123,0)</f>
        <v>0</v>
      </c>
      <c r="AB123" s="33">
        <f>IF(AQ123="1",BH123,0)</f>
        <v>0</v>
      </c>
      <c r="AC123" s="33">
        <f>IF(AQ123="1",BI123,0)</f>
        <v>0</v>
      </c>
      <c r="AD123" s="33">
        <f>IF(AQ123="7",BH123,0)</f>
        <v>0</v>
      </c>
      <c r="AE123" s="33">
        <f>IF(AQ123="7",BI123,0)</f>
        <v>0</v>
      </c>
      <c r="AF123" s="33">
        <f>IF(AQ123="2",BH123,0)</f>
        <v>0</v>
      </c>
      <c r="AG123" s="33">
        <f>IF(AQ123="2",BI123,0)</f>
        <v>0</v>
      </c>
      <c r="AH123" s="33">
        <f>IF(AQ123="0",BJ123,0)</f>
        <v>0</v>
      </c>
      <c r="AI123" s="28"/>
      <c r="AJ123" s="15">
        <f>IF(AN123=0,K123,0)</f>
        <v>0</v>
      </c>
      <c r="AK123" s="15">
        <f>IF(AN123=15,K123,0)</f>
        <v>0</v>
      </c>
      <c r="AL123" s="15">
        <f>IF(AN123=21,K123,0)</f>
        <v>0</v>
      </c>
      <c r="AN123" s="33">
        <v>21</v>
      </c>
      <c r="AO123" s="33">
        <f>H123*0</f>
        <v>0</v>
      </c>
      <c r="AP123" s="33">
        <f>H123*(1-0)</f>
        <v>0</v>
      </c>
      <c r="AQ123" s="27" t="s">
        <v>11</v>
      </c>
      <c r="AV123" s="33">
        <f>AW123+AX123</f>
        <v>0</v>
      </c>
      <c r="AW123" s="33">
        <f>G123*AO123</f>
        <v>0</v>
      </c>
      <c r="AX123" s="33">
        <f>G123*AP123</f>
        <v>0</v>
      </c>
      <c r="AY123" s="34" t="s">
        <v>283</v>
      </c>
      <c r="AZ123" s="34" t="s">
        <v>291</v>
      </c>
      <c r="BA123" s="28" t="s">
        <v>292</v>
      </c>
      <c r="BC123" s="33">
        <f>AW123+AX123</f>
        <v>0</v>
      </c>
      <c r="BD123" s="33">
        <f>H123/(100-BE123)*100</f>
        <v>0</v>
      </c>
      <c r="BE123" s="33">
        <v>0</v>
      </c>
      <c r="BF123" s="33">
        <f>123</f>
        <v>123</v>
      </c>
      <c r="BH123" s="15">
        <f>G123*AO123</f>
        <v>0</v>
      </c>
      <c r="BI123" s="15">
        <f>G123*AP123</f>
        <v>0</v>
      </c>
      <c r="BJ123" s="15">
        <f>G123*H123</f>
        <v>0</v>
      </c>
    </row>
    <row r="124" spans="3:7" ht="12.75">
      <c r="C124" s="87" t="s">
        <v>211</v>
      </c>
      <c r="D124" s="88"/>
      <c r="E124" s="88"/>
      <c r="G124" s="16">
        <v>2.05491</v>
      </c>
    </row>
    <row r="125" spans="1:62" ht="12.75">
      <c r="A125" s="4" t="s">
        <v>50</v>
      </c>
      <c r="B125" s="4" t="s">
        <v>115</v>
      </c>
      <c r="C125" s="85" t="s">
        <v>215</v>
      </c>
      <c r="D125" s="86"/>
      <c r="E125" s="86"/>
      <c r="F125" s="4" t="s">
        <v>239</v>
      </c>
      <c r="G125" s="15">
        <v>39.04329</v>
      </c>
      <c r="H125" s="15">
        <v>0</v>
      </c>
      <c r="I125" s="15">
        <f>G125*AO125</f>
        <v>0</v>
      </c>
      <c r="J125" s="15">
        <f>G125*AP125</f>
        <v>0</v>
      </c>
      <c r="K125" s="15">
        <f>G125*H125</f>
        <v>0</v>
      </c>
      <c r="L125" s="27" t="s">
        <v>259</v>
      </c>
      <c r="Z125" s="33">
        <f>IF(AQ125="5",BJ125,0)</f>
        <v>0</v>
      </c>
      <c r="AB125" s="33">
        <f>IF(AQ125="1",BH125,0)</f>
        <v>0</v>
      </c>
      <c r="AC125" s="33">
        <f>IF(AQ125="1",BI125,0)</f>
        <v>0</v>
      </c>
      <c r="AD125" s="33">
        <f>IF(AQ125="7",BH125,0)</f>
        <v>0</v>
      </c>
      <c r="AE125" s="33">
        <f>IF(AQ125="7",BI125,0)</f>
        <v>0</v>
      </c>
      <c r="AF125" s="33">
        <f>IF(AQ125="2",BH125,0)</f>
        <v>0</v>
      </c>
      <c r="AG125" s="33">
        <f>IF(AQ125="2",BI125,0)</f>
        <v>0</v>
      </c>
      <c r="AH125" s="33">
        <f>IF(AQ125="0",BJ125,0)</f>
        <v>0</v>
      </c>
      <c r="AI125" s="28"/>
      <c r="AJ125" s="15">
        <f>IF(AN125=0,K125,0)</f>
        <v>0</v>
      </c>
      <c r="AK125" s="15">
        <f>IF(AN125=15,K125,0)</f>
        <v>0</v>
      </c>
      <c r="AL125" s="15">
        <f>IF(AN125=21,K125,0)</f>
        <v>0</v>
      </c>
      <c r="AN125" s="33">
        <v>21</v>
      </c>
      <c r="AO125" s="33">
        <f>H125*0</f>
        <v>0</v>
      </c>
      <c r="AP125" s="33">
        <f>H125*(1-0)</f>
        <v>0</v>
      </c>
      <c r="AQ125" s="27" t="s">
        <v>11</v>
      </c>
      <c r="AV125" s="33">
        <f>AW125+AX125</f>
        <v>0</v>
      </c>
      <c r="AW125" s="33">
        <f>G125*AO125</f>
        <v>0</v>
      </c>
      <c r="AX125" s="33">
        <f>G125*AP125</f>
        <v>0</v>
      </c>
      <c r="AY125" s="34" t="s">
        <v>283</v>
      </c>
      <c r="AZ125" s="34" t="s">
        <v>291</v>
      </c>
      <c r="BA125" s="28" t="s">
        <v>292</v>
      </c>
      <c r="BC125" s="33">
        <f>AW125+AX125</f>
        <v>0</v>
      </c>
      <c r="BD125" s="33">
        <f>H125/(100-BE125)*100</f>
        <v>0</v>
      </c>
      <c r="BE125" s="33">
        <v>0</v>
      </c>
      <c r="BF125" s="33">
        <f>125</f>
        <v>125</v>
      </c>
      <c r="BH125" s="15">
        <f>G125*AO125</f>
        <v>0</v>
      </c>
      <c r="BI125" s="15">
        <f>G125*AP125</f>
        <v>0</v>
      </c>
      <c r="BJ125" s="15">
        <f>G125*H125</f>
        <v>0</v>
      </c>
    </row>
    <row r="126" spans="3:7" ht="12.75">
      <c r="C126" s="87" t="s">
        <v>216</v>
      </c>
      <c r="D126" s="88"/>
      <c r="E126" s="88"/>
      <c r="G126" s="16">
        <v>39.04329</v>
      </c>
    </row>
    <row r="127" spans="1:62" ht="12.75">
      <c r="A127" s="4" t="s">
        <v>51</v>
      </c>
      <c r="B127" s="4" t="s">
        <v>116</v>
      </c>
      <c r="C127" s="85" t="s">
        <v>217</v>
      </c>
      <c r="D127" s="86"/>
      <c r="E127" s="86"/>
      <c r="F127" s="4" t="s">
        <v>239</v>
      </c>
      <c r="G127" s="15">
        <v>1.4</v>
      </c>
      <c r="H127" s="15">
        <v>0</v>
      </c>
      <c r="I127" s="15">
        <f>G127*AO127</f>
        <v>0</v>
      </c>
      <c r="J127" s="15">
        <f>G127*AP127</f>
        <v>0</v>
      </c>
      <c r="K127" s="15">
        <f>G127*H127</f>
        <v>0</v>
      </c>
      <c r="L127" s="27" t="s">
        <v>259</v>
      </c>
      <c r="Z127" s="33">
        <f>IF(AQ127="5",BJ127,0)</f>
        <v>0</v>
      </c>
      <c r="AB127" s="33">
        <f>IF(AQ127="1",BH127,0)</f>
        <v>0</v>
      </c>
      <c r="AC127" s="33">
        <f>IF(AQ127="1",BI127,0)</f>
        <v>0</v>
      </c>
      <c r="AD127" s="33">
        <f>IF(AQ127="7",BH127,0)</f>
        <v>0</v>
      </c>
      <c r="AE127" s="33">
        <f>IF(AQ127="7",BI127,0)</f>
        <v>0</v>
      </c>
      <c r="AF127" s="33">
        <f>IF(AQ127="2",BH127,0)</f>
        <v>0</v>
      </c>
      <c r="AG127" s="33">
        <f>IF(AQ127="2",BI127,0)</f>
        <v>0</v>
      </c>
      <c r="AH127" s="33">
        <f>IF(AQ127="0",BJ127,0)</f>
        <v>0</v>
      </c>
      <c r="AI127" s="28"/>
      <c r="AJ127" s="15">
        <f>IF(AN127=0,K127,0)</f>
        <v>0</v>
      </c>
      <c r="AK127" s="15">
        <f>IF(AN127=15,K127,0)</f>
        <v>0</v>
      </c>
      <c r="AL127" s="15">
        <f>IF(AN127=21,K127,0)</f>
        <v>0</v>
      </c>
      <c r="AN127" s="33">
        <v>21</v>
      </c>
      <c r="AO127" s="33">
        <f>H127*0</f>
        <v>0</v>
      </c>
      <c r="AP127" s="33">
        <f>H127*(1-0)</f>
        <v>0</v>
      </c>
      <c r="AQ127" s="27" t="s">
        <v>11</v>
      </c>
      <c r="AV127" s="33">
        <f>AW127+AX127</f>
        <v>0</v>
      </c>
      <c r="AW127" s="33">
        <f>G127*AO127</f>
        <v>0</v>
      </c>
      <c r="AX127" s="33">
        <f>G127*AP127</f>
        <v>0</v>
      </c>
      <c r="AY127" s="34" t="s">
        <v>283</v>
      </c>
      <c r="AZ127" s="34" t="s">
        <v>291</v>
      </c>
      <c r="BA127" s="28" t="s">
        <v>292</v>
      </c>
      <c r="BC127" s="33">
        <f>AW127+AX127</f>
        <v>0</v>
      </c>
      <c r="BD127" s="33">
        <f>H127/(100-BE127)*100</f>
        <v>0</v>
      </c>
      <c r="BE127" s="33">
        <v>0</v>
      </c>
      <c r="BF127" s="33">
        <f>127</f>
        <v>127</v>
      </c>
      <c r="BH127" s="15">
        <f>G127*AO127</f>
        <v>0</v>
      </c>
      <c r="BI127" s="15">
        <f>G127*AP127</f>
        <v>0</v>
      </c>
      <c r="BJ127" s="15">
        <f>G127*H127</f>
        <v>0</v>
      </c>
    </row>
    <row r="128" spans="3:7" ht="12.75">
      <c r="C128" s="87" t="s">
        <v>218</v>
      </c>
      <c r="D128" s="88"/>
      <c r="E128" s="88"/>
      <c r="G128" s="16">
        <v>1.4</v>
      </c>
    </row>
    <row r="129" spans="1:62" ht="12.75">
      <c r="A129" s="4" t="s">
        <v>52</v>
      </c>
      <c r="B129" s="4" t="s">
        <v>117</v>
      </c>
      <c r="C129" s="85" t="s">
        <v>219</v>
      </c>
      <c r="D129" s="86"/>
      <c r="E129" s="86"/>
      <c r="F129" s="4" t="s">
        <v>239</v>
      </c>
      <c r="G129" s="15">
        <v>0.364</v>
      </c>
      <c r="H129" s="15">
        <v>0</v>
      </c>
      <c r="I129" s="15">
        <f>G129*AO129</f>
        <v>0</v>
      </c>
      <c r="J129" s="15">
        <f>G129*AP129</f>
        <v>0</v>
      </c>
      <c r="K129" s="15">
        <f>G129*H129</f>
        <v>0</v>
      </c>
      <c r="L129" s="27" t="s">
        <v>259</v>
      </c>
      <c r="Z129" s="33">
        <f>IF(AQ129="5",BJ129,0)</f>
        <v>0</v>
      </c>
      <c r="AB129" s="33">
        <f>IF(AQ129="1",BH129,0)</f>
        <v>0</v>
      </c>
      <c r="AC129" s="33">
        <f>IF(AQ129="1",BI129,0)</f>
        <v>0</v>
      </c>
      <c r="AD129" s="33">
        <f>IF(AQ129="7",BH129,0)</f>
        <v>0</v>
      </c>
      <c r="AE129" s="33">
        <f>IF(AQ129="7",BI129,0)</f>
        <v>0</v>
      </c>
      <c r="AF129" s="33">
        <f>IF(AQ129="2",BH129,0)</f>
        <v>0</v>
      </c>
      <c r="AG129" s="33">
        <f>IF(AQ129="2",BI129,0)</f>
        <v>0</v>
      </c>
      <c r="AH129" s="33">
        <f>IF(AQ129="0",BJ129,0)</f>
        <v>0</v>
      </c>
      <c r="AI129" s="28"/>
      <c r="AJ129" s="15">
        <f>IF(AN129=0,K129,0)</f>
        <v>0</v>
      </c>
      <c r="AK129" s="15">
        <f>IF(AN129=15,K129,0)</f>
        <v>0</v>
      </c>
      <c r="AL129" s="15">
        <f>IF(AN129=21,K129,0)</f>
        <v>0</v>
      </c>
      <c r="AN129" s="33">
        <v>21</v>
      </c>
      <c r="AO129" s="33">
        <f>H129*0</f>
        <v>0</v>
      </c>
      <c r="AP129" s="33">
        <f>H129*(1-0)</f>
        <v>0</v>
      </c>
      <c r="AQ129" s="27" t="s">
        <v>11</v>
      </c>
      <c r="AV129" s="33">
        <f>AW129+AX129</f>
        <v>0</v>
      </c>
      <c r="AW129" s="33">
        <f>G129*AO129</f>
        <v>0</v>
      </c>
      <c r="AX129" s="33">
        <f>G129*AP129</f>
        <v>0</v>
      </c>
      <c r="AY129" s="34" t="s">
        <v>283</v>
      </c>
      <c r="AZ129" s="34" t="s">
        <v>291</v>
      </c>
      <c r="BA129" s="28" t="s">
        <v>292</v>
      </c>
      <c r="BC129" s="33">
        <f>AW129+AX129</f>
        <v>0</v>
      </c>
      <c r="BD129" s="33">
        <f>H129/(100-BE129)*100</f>
        <v>0</v>
      </c>
      <c r="BE129" s="33">
        <v>0</v>
      </c>
      <c r="BF129" s="33">
        <f>129</f>
        <v>129</v>
      </c>
      <c r="BH129" s="15">
        <f>G129*AO129</f>
        <v>0</v>
      </c>
      <c r="BI129" s="15">
        <f>G129*AP129</f>
        <v>0</v>
      </c>
      <c r="BJ129" s="15">
        <f>G129*H129</f>
        <v>0</v>
      </c>
    </row>
    <row r="130" spans="3:7" ht="12.75">
      <c r="C130" s="87" t="s">
        <v>220</v>
      </c>
      <c r="D130" s="88"/>
      <c r="E130" s="88"/>
      <c r="G130" s="16">
        <v>0.364</v>
      </c>
    </row>
    <row r="131" spans="1:62" ht="12.75">
      <c r="A131" s="4" t="s">
        <v>53</v>
      </c>
      <c r="B131" s="4" t="s">
        <v>118</v>
      </c>
      <c r="C131" s="85" t="s">
        <v>221</v>
      </c>
      <c r="D131" s="86"/>
      <c r="E131" s="86"/>
      <c r="F131" s="4" t="s">
        <v>239</v>
      </c>
      <c r="G131" s="15">
        <v>0.29091</v>
      </c>
      <c r="H131" s="15">
        <v>0</v>
      </c>
      <c r="I131" s="15">
        <f>G131*AO131</f>
        <v>0</v>
      </c>
      <c r="J131" s="15">
        <f>G131*AP131</f>
        <v>0</v>
      </c>
      <c r="K131" s="15">
        <f>G131*H131</f>
        <v>0</v>
      </c>
      <c r="L131" s="27" t="s">
        <v>259</v>
      </c>
      <c r="Z131" s="33">
        <f>IF(AQ131="5",BJ131,0)</f>
        <v>0</v>
      </c>
      <c r="AB131" s="33">
        <f>IF(AQ131="1",BH131,0)</f>
        <v>0</v>
      </c>
      <c r="AC131" s="33">
        <f>IF(AQ131="1",BI131,0)</f>
        <v>0</v>
      </c>
      <c r="AD131" s="33">
        <f>IF(AQ131="7",BH131,0)</f>
        <v>0</v>
      </c>
      <c r="AE131" s="33">
        <f>IF(AQ131="7",BI131,0)</f>
        <v>0</v>
      </c>
      <c r="AF131" s="33">
        <f>IF(AQ131="2",BH131,0)</f>
        <v>0</v>
      </c>
      <c r="AG131" s="33">
        <f>IF(AQ131="2",BI131,0)</f>
        <v>0</v>
      </c>
      <c r="AH131" s="33">
        <f>IF(AQ131="0",BJ131,0)</f>
        <v>0</v>
      </c>
      <c r="AI131" s="28"/>
      <c r="AJ131" s="15">
        <f>IF(AN131=0,K131,0)</f>
        <v>0</v>
      </c>
      <c r="AK131" s="15">
        <f>IF(AN131=15,K131,0)</f>
        <v>0</v>
      </c>
      <c r="AL131" s="15">
        <f>IF(AN131=21,K131,0)</f>
        <v>0</v>
      </c>
      <c r="AN131" s="33">
        <v>21</v>
      </c>
      <c r="AO131" s="33">
        <f>H131*0</f>
        <v>0</v>
      </c>
      <c r="AP131" s="33">
        <f>H131*(1-0)</f>
        <v>0</v>
      </c>
      <c r="AQ131" s="27" t="s">
        <v>11</v>
      </c>
      <c r="AV131" s="33">
        <f>AW131+AX131</f>
        <v>0</v>
      </c>
      <c r="AW131" s="33">
        <f>G131*AO131</f>
        <v>0</v>
      </c>
      <c r="AX131" s="33">
        <f>G131*AP131</f>
        <v>0</v>
      </c>
      <c r="AY131" s="34" t="s">
        <v>283</v>
      </c>
      <c r="AZ131" s="34" t="s">
        <v>291</v>
      </c>
      <c r="BA131" s="28" t="s">
        <v>292</v>
      </c>
      <c r="BC131" s="33">
        <f>AW131+AX131</f>
        <v>0</v>
      </c>
      <c r="BD131" s="33">
        <f>H131/(100-BE131)*100</f>
        <v>0</v>
      </c>
      <c r="BE131" s="33">
        <v>0</v>
      </c>
      <c r="BF131" s="33">
        <f>131</f>
        <v>131</v>
      </c>
      <c r="BH131" s="15">
        <f>G131*AO131</f>
        <v>0</v>
      </c>
      <c r="BI131" s="15">
        <f>G131*AP131</f>
        <v>0</v>
      </c>
      <c r="BJ131" s="15">
        <f>G131*H131</f>
        <v>0</v>
      </c>
    </row>
    <row r="132" spans="3:7" ht="12.75">
      <c r="C132" s="87" t="s">
        <v>211</v>
      </c>
      <c r="D132" s="88"/>
      <c r="E132" s="88"/>
      <c r="G132" s="16">
        <v>2.05491</v>
      </c>
    </row>
    <row r="133" spans="3:7" ht="12.75">
      <c r="C133" s="87" t="s">
        <v>222</v>
      </c>
      <c r="D133" s="88"/>
      <c r="E133" s="88"/>
      <c r="G133" s="16">
        <v>-1.4</v>
      </c>
    </row>
    <row r="134" spans="3:7" ht="12.75">
      <c r="C134" s="87" t="s">
        <v>223</v>
      </c>
      <c r="D134" s="88"/>
      <c r="E134" s="88"/>
      <c r="G134" s="16">
        <v>-0.364</v>
      </c>
    </row>
    <row r="135" spans="1:47" ht="12.75">
      <c r="A135" s="5"/>
      <c r="B135" s="13" t="s">
        <v>119</v>
      </c>
      <c r="C135" s="89" t="s">
        <v>224</v>
      </c>
      <c r="D135" s="90"/>
      <c r="E135" s="90"/>
      <c r="F135" s="5" t="s">
        <v>6</v>
      </c>
      <c r="G135" s="5" t="s">
        <v>6</v>
      </c>
      <c r="H135" s="5" t="s">
        <v>6</v>
      </c>
      <c r="I135" s="36">
        <f>SUM(I136:I138)</f>
        <v>0</v>
      </c>
      <c r="J135" s="36">
        <f>SUM(J136:J138)</f>
        <v>0</v>
      </c>
      <c r="K135" s="36">
        <f>SUM(K136:K138)</f>
        <v>0</v>
      </c>
      <c r="L135" s="28"/>
      <c r="AI135" s="28"/>
      <c r="AS135" s="36">
        <f>SUM(AJ136:AJ138)</f>
        <v>0</v>
      </c>
      <c r="AT135" s="36">
        <f>SUM(AK136:AK138)</f>
        <v>0</v>
      </c>
      <c r="AU135" s="36">
        <f>SUM(AL136:AL138)</f>
        <v>0</v>
      </c>
    </row>
    <row r="136" spans="1:62" ht="12.75">
      <c r="A136" s="4" t="s">
        <v>54</v>
      </c>
      <c r="B136" s="4" t="s">
        <v>120</v>
      </c>
      <c r="C136" s="85" t="s">
        <v>225</v>
      </c>
      <c r="D136" s="86"/>
      <c r="E136" s="86"/>
      <c r="F136" s="4" t="s">
        <v>240</v>
      </c>
      <c r="G136" s="15">
        <v>3.25</v>
      </c>
      <c r="H136" s="15">
        <v>0</v>
      </c>
      <c r="I136" s="15">
        <f>G136*AO136</f>
        <v>0</v>
      </c>
      <c r="J136" s="15">
        <f>G136*AP136</f>
        <v>0</v>
      </c>
      <c r="K136" s="15">
        <f>G136*H136</f>
        <v>0</v>
      </c>
      <c r="L136" s="27"/>
      <c r="Z136" s="33">
        <f>IF(AQ136="5",BJ136,0)</f>
        <v>0</v>
      </c>
      <c r="AB136" s="33">
        <f>IF(AQ136="1",BH136,0)</f>
        <v>0</v>
      </c>
      <c r="AC136" s="33">
        <f>IF(AQ136="1",BI136,0)</f>
        <v>0</v>
      </c>
      <c r="AD136" s="33">
        <f>IF(AQ136="7",BH136,0)</f>
        <v>0</v>
      </c>
      <c r="AE136" s="33">
        <f>IF(AQ136="7",BI136,0)</f>
        <v>0</v>
      </c>
      <c r="AF136" s="33">
        <f>IF(AQ136="2",BH136,0)</f>
        <v>0</v>
      </c>
      <c r="AG136" s="33">
        <f>IF(AQ136="2",BI136,0)</f>
        <v>0</v>
      </c>
      <c r="AH136" s="33">
        <f>IF(AQ136="0",BJ136,0)</f>
        <v>0</v>
      </c>
      <c r="AI136" s="28"/>
      <c r="AJ136" s="15">
        <f>IF(AN136=0,K136,0)</f>
        <v>0</v>
      </c>
      <c r="AK136" s="15">
        <f>IF(AN136=15,K136,0)</f>
        <v>0</v>
      </c>
      <c r="AL136" s="15">
        <f>IF(AN136=21,K136,0)</f>
        <v>0</v>
      </c>
      <c r="AN136" s="33">
        <v>21</v>
      </c>
      <c r="AO136" s="33">
        <f>H136*0</f>
        <v>0</v>
      </c>
      <c r="AP136" s="33">
        <f>H136*(1-0)</f>
        <v>0</v>
      </c>
      <c r="AQ136" s="27" t="s">
        <v>7</v>
      </c>
      <c r="AV136" s="33">
        <f>AW136+AX136</f>
        <v>0</v>
      </c>
      <c r="AW136" s="33">
        <f>G136*AO136</f>
        <v>0</v>
      </c>
      <c r="AX136" s="33">
        <f>G136*AP136</f>
        <v>0</v>
      </c>
      <c r="AY136" s="34" t="s">
        <v>284</v>
      </c>
      <c r="AZ136" s="34" t="s">
        <v>269</v>
      </c>
      <c r="BA136" s="28" t="s">
        <v>292</v>
      </c>
      <c r="BC136" s="33">
        <f>AW136+AX136</f>
        <v>0</v>
      </c>
      <c r="BD136" s="33">
        <f>H136/(100-BE136)*100</f>
        <v>0</v>
      </c>
      <c r="BE136" s="33">
        <v>0</v>
      </c>
      <c r="BF136" s="33">
        <f>136</f>
        <v>136</v>
      </c>
      <c r="BH136" s="15">
        <f>G136*AO136</f>
        <v>0</v>
      </c>
      <c r="BI136" s="15">
        <f>G136*AP136</f>
        <v>0</v>
      </c>
      <c r="BJ136" s="15">
        <f>G136*H136</f>
        <v>0</v>
      </c>
    </row>
    <row r="137" spans="1:62" ht="12.75">
      <c r="A137" s="4" t="s">
        <v>55</v>
      </c>
      <c r="B137" s="4" t="s">
        <v>121</v>
      </c>
      <c r="C137" s="85" t="s">
        <v>226</v>
      </c>
      <c r="D137" s="86"/>
      <c r="E137" s="86"/>
      <c r="F137" s="4" t="s">
        <v>240</v>
      </c>
      <c r="G137" s="15">
        <v>1.6</v>
      </c>
      <c r="H137" s="15">
        <v>0</v>
      </c>
      <c r="I137" s="15">
        <f>G137*AO137</f>
        <v>0</v>
      </c>
      <c r="J137" s="15">
        <f>G137*AP137</f>
        <v>0</v>
      </c>
      <c r="K137" s="15">
        <f>G137*H137</f>
        <v>0</v>
      </c>
      <c r="L137" s="27"/>
      <c r="Z137" s="33">
        <f>IF(AQ137="5",BJ137,0)</f>
        <v>0</v>
      </c>
      <c r="AB137" s="33">
        <f>IF(AQ137="1",BH137,0)</f>
        <v>0</v>
      </c>
      <c r="AC137" s="33">
        <f>IF(AQ137="1",BI137,0)</f>
        <v>0</v>
      </c>
      <c r="AD137" s="33">
        <f>IF(AQ137="7",BH137,0)</f>
        <v>0</v>
      </c>
      <c r="AE137" s="33">
        <f>IF(AQ137="7",BI137,0)</f>
        <v>0</v>
      </c>
      <c r="AF137" s="33">
        <f>IF(AQ137="2",BH137,0)</f>
        <v>0</v>
      </c>
      <c r="AG137" s="33">
        <f>IF(AQ137="2",BI137,0)</f>
        <v>0</v>
      </c>
      <c r="AH137" s="33">
        <f>IF(AQ137="0",BJ137,0)</f>
        <v>0</v>
      </c>
      <c r="AI137" s="28"/>
      <c r="AJ137" s="15">
        <f>IF(AN137=0,K137,0)</f>
        <v>0</v>
      </c>
      <c r="AK137" s="15">
        <f>IF(AN137=15,K137,0)</f>
        <v>0</v>
      </c>
      <c r="AL137" s="15">
        <f>IF(AN137=21,K137,0)</f>
        <v>0</v>
      </c>
      <c r="AN137" s="33">
        <v>21</v>
      </c>
      <c r="AO137" s="33">
        <f>H137*0</f>
        <v>0</v>
      </c>
      <c r="AP137" s="33">
        <f>H137*(1-0)</f>
        <v>0</v>
      </c>
      <c r="AQ137" s="27" t="s">
        <v>7</v>
      </c>
      <c r="AV137" s="33">
        <f>AW137+AX137</f>
        <v>0</v>
      </c>
      <c r="AW137" s="33">
        <f>G137*AO137</f>
        <v>0</v>
      </c>
      <c r="AX137" s="33">
        <f>G137*AP137</f>
        <v>0</v>
      </c>
      <c r="AY137" s="34" t="s">
        <v>284</v>
      </c>
      <c r="AZ137" s="34" t="s">
        <v>269</v>
      </c>
      <c r="BA137" s="28" t="s">
        <v>292</v>
      </c>
      <c r="BC137" s="33">
        <f>AW137+AX137</f>
        <v>0</v>
      </c>
      <c r="BD137" s="33">
        <f>H137/(100-BE137)*100</f>
        <v>0</v>
      </c>
      <c r="BE137" s="33">
        <v>0</v>
      </c>
      <c r="BF137" s="33">
        <f>137</f>
        <v>137</v>
      </c>
      <c r="BH137" s="15">
        <f>G137*AO137</f>
        <v>0</v>
      </c>
      <c r="BI137" s="15">
        <f>G137*AP137</f>
        <v>0</v>
      </c>
      <c r="BJ137" s="15">
        <f>G137*H137</f>
        <v>0</v>
      </c>
    </row>
    <row r="138" spans="1:62" ht="12.75">
      <c r="A138" s="7" t="s">
        <v>56</v>
      </c>
      <c r="B138" s="7" t="s">
        <v>122</v>
      </c>
      <c r="C138" s="93" t="s">
        <v>227</v>
      </c>
      <c r="D138" s="94"/>
      <c r="E138" s="94"/>
      <c r="F138" s="7" t="s">
        <v>240</v>
      </c>
      <c r="G138" s="18">
        <v>1.5</v>
      </c>
      <c r="H138" s="18">
        <v>0</v>
      </c>
      <c r="I138" s="18">
        <f>G138*AO138</f>
        <v>0</v>
      </c>
      <c r="J138" s="18">
        <f>G138*AP138</f>
        <v>0</v>
      </c>
      <c r="K138" s="18">
        <f>G138*H138</f>
        <v>0</v>
      </c>
      <c r="L138" s="30"/>
      <c r="Z138" s="33">
        <f>IF(AQ138="5",BJ138,0)</f>
        <v>0</v>
      </c>
      <c r="AB138" s="33">
        <f>IF(AQ138="1",BH138,0)</f>
        <v>0</v>
      </c>
      <c r="AC138" s="33">
        <f>IF(AQ138="1",BI138,0)</f>
        <v>0</v>
      </c>
      <c r="AD138" s="33">
        <f>IF(AQ138="7",BH138,0)</f>
        <v>0</v>
      </c>
      <c r="AE138" s="33">
        <f>IF(AQ138="7",BI138,0)</f>
        <v>0</v>
      </c>
      <c r="AF138" s="33">
        <f>IF(AQ138="2",BH138,0)</f>
        <v>0</v>
      </c>
      <c r="AG138" s="33">
        <f>IF(AQ138="2",BI138,0)</f>
        <v>0</v>
      </c>
      <c r="AH138" s="33">
        <f>IF(AQ138="0",BJ138,0)</f>
        <v>0</v>
      </c>
      <c r="AI138" s="28"/>
      <c r="AJ138" s="15">
        <f>IF(AN138=0,K138,0)</f>
        <v>0</v>
      </c>
      <c r="AK138" s="15">
        <f>IF(AN138=15,K138,0)</f>
        <v>0</v>
      </c>
      <c r="AL138" s="15">
        <f>IF(AN138=21,K138,0)</f>
        <v>0</v>
      </c>
      <c r="AN138" s="33">
        <v>21</v>
      </c>
      <c r="AO138" s="33">
        <f>H138*0</f>
        <v>0</v>
      </c>
      <c r="AP138" s="33">
        <f>H138*(1-0)</f>
        <v>0</v>
      </c>
      <c r="AQ138" s="27" t="s">
        <v>7</v>
      </c>
      <c r="AV138" s="33">
        <f>AW138+AX138</f>
        <v>0</v>
      </c>
      <c r="AW138" s="33">
        <f>G138*AO138</f>
        <v>0</v>
      </c>
      <c r="AX138" s="33">
        <f>G138*AP138</f>
        <v>0</v>
      </c>
      <c r="AY138" s="34" t="s">
        <v>284</v>
      </c>
      <c r="AZ138" s="34" t="s">
        <v>269</v>
      </c>
      <c r="BA138" s="28" t="s">
        <v>292</v>
      </c>
      <c r="BC138" s="33">
        <f>AW138+AX138</f>
        <v>0</v>
      </c>
      <c r="BD138" s="33">
        <f>H138/(100-BE138)*100</f>
        <v>0</v>
      </c>
      <c r="BE138" s="33">
        <v>0</v>
      </c>
      <c r="BF138" s="33">
        <f>138</f>
        <v>138</v>
      </c>
      <c r="BH138" s="15">
        <f>G138*AO138</f>
        <v>0</v>
      </c>
      <c r="BI138" s="15">
        <f>G138*AP138</f>
        <v>0</v>
      </c>
      <c r="BJ138" s="15">
        <f>G138*H138</f>
        <v>0</v>
      </c>
    </row>
    <row r="139" spans="1:12" ht="12.75">
      <c r="A139" s="8"/>
      <c r="B139" s="8"/>
      <c r="C139" s="8"/>
      <c r="D139" s="8"/>
      <c r="E139" s="8"/>
      <c r="F139" s="8"/>
      <c r="G139" s="8"/>
      <c r="H139" s="8"/>
      <c r="I139" s="95" t="s">
        <v>254</v>
      </c>
      <c r="J139" s="96"/>
      <c r="K139" s="37">
        <f>K12+K20+K23+K26+K30+K39+K56+K64+K69+K97+K104+K107+K110+K113+K116+K135</f>
        <v>0</v>
      </c>
      <c r="L139" s="8"/>
    </row>
    <row r="140" ht="11.25" customHeight="1">
      <c r="A140" s="9" t="s">
        <v>57</v>
      </c>
    </row>
    <row r="141" spans="1:12" ht="12.75">
      <c r="A141" s="69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</row>
  </sheetData>
  <mergeCells count="157">
    <mergeCell ref="C135:E135"/>
    <mergeCell ref="C136:E136"/>
    <mergeCell ref="C137:E137"/>
    <mergeCell ref="C138:E138"/>
    <mergeCell ref="I139:J139"/>
    <mergeCell ref="A141:L141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55"/>
      <c r="B1" s="38"/>
      <c r="C1" s="97" t="s">
        <v>311</v>
      </c>
      <c r="D1" s="57"/>
      <c r="E1" s="57"/>
      <c r="F1" s="57"/>
      <c r="G1" s="57"/>
      <c r="H1" s="57"/>
      <c r="I1" s="57"/>
    </row>
    <row r="2" spans="1:10" ht="12.75">
      <c r="A2" s="58" t="s">
        <v>1</v>
      </c>
      <c r="B2" s="59"/>
      <c r="C2" s="62" t="str">
        <f>'Stavební rozpočet'!C2</f>
        <v>Výměna střešní krytiny na spojovacím krčku budovy bakalářských studií v Litvínově</v>
      </c>
      <c r="D2" s="96"/>
      <c r="E2" s="65" t="s">
        <v>242</v>
      </c>
      <c r="F2" s="65" t="str">
        <f>'Stavební rozpočet'!I2</f>
        <v>Město Litvínov</v>
      </c>
      <c r="G2" s="59"/>
      <c r="H2" s="65" t="s">
        <v>334</v>
      </c>
      <c r="I2" s="98"/>
      <c r="J2" s="31"/>
    </row>
    <row r="3" spans="1:10" ht="25.7" customHeight="1">
      <c r="A3" s="60"/>
      <c r="B3" s="61"/>
      <c r="C3" s="63"/>
      <c r="D3" s="63"/>
      <c r="E3" s="61"/>
      <c r="F3" s="61"/>
      <c r="G3" s="61"/>
      <c r="H3" s="61"/>
      <c r="I3" s="67"/>
      <c r="J3" s="31"/>
    </row>
    <row r="4" spans="1:10" ht="12.75">
      <c r="A4" s="68" t="s">
        <v>2</v>
      </c>
      <c r="B4" s="61"/>
      <c r="C4" s="69" t="str">
        <f>'Stavební rozpočet'!C4</f>
        <v>D.1.1. ARCHITEKTONICKO STAVEBNÍ ŘEŠENÍ - SO 01-A</v>
      </c>
      <c r="D4" s="61"/>
      <c r="E4" s="69" t="s">
        <v>243</v>
      </c>
      <c r="F4" s="69" t="str">
        <f>'Stavební rozpočet'!I4</f>
        <v>SDP LITVÍNOV, spol. s.r.o.</v>
      </c>
      <c r="G4" s="61"/>
      <c r="H4" s="69" t="s">
        <v>334</v>
      </c>
      <c r="I4" s="99"/>
      <c r="J4" s="31"/>
    </row>
    <row r="5" spans="1:10" ht="12.75">
      <c r="A5" s="60"/>
      <c r="B5" s="61"/>
      <c r="C5" s="61"/>
      <c r="D5" s="61"/>
      <c r="E5" s="61"/>
      <c r="F5" s="61"/>
      <c r="G5" s="61"/>
      <c r="H5" s="61"/>
      <c r="I5" s="67"/>
      <c r="J5" s="31"/>
    </row>
    <row r="6" spans="1:10" ht="12.75">
      <c r="A6" s="68" t="s">
        <v>3</v>
      </c>
      <c r="B6" s="61"/>
      <c r="C6" s="69" t="str">
        <f>'Stavební rozpočet'!C6</f>
        <v>č.p. 637, ulice Ukrajinská, Litvínov</v>
      </c>
      <c r="D6" s="61"/>
      <c r="E6" s="69" t="s">
        <v>244</v>
      </c>
      <c r="F6" s="69" t="str">
        <f>'Stavební rozpočet'!I6</f>
        <v> </v>
      </c>
      <c r="G6" s="61"/>
      <c r="H6" s="69" t="s">
        <v>334</v>
      </c>
      <c r="I6" s="99"/>
      <c r="J6" s="31"/>
    </row>
    <row r="7" spans="1:10" ht="12.75">
      <c r="A7" s="60"/>
      <c r="B7" s="61"/>
      <c r="C7" s="61"/>
      <c r="D7" s="61"/>
      <c r="E7" s="61"/>
      <c r="F7" s="61"/>
      <c r="G7" s="61"/>
      <c r="H7" s="61"/>
      <c r="I7" s="67"/>
      <c r="J7" s="31"/>
    </row>
    <row r="8" spans="1:10" ht="12.75">
      <c r="A8" s="68" t="s">
        <v>229</v>
      </c>
      <c r="B8" s="61"/>
      <c r="C8" s="69" t="str">
        <f>'Stavební rozpočet'!F4</f>
        <v xml:space="preserve"> </v>
      </c>
      <c r="D8" s="61"/>
      <c r="E8" s="69" t="s">
        <v>230</v>
      </c>
      <c r="F8" s="69" t="str">
        <f>'Stavební rozpočet'!F6</f>
        <v xml:space="preserve"> </v>
      </c>
      <c r="G8" s="61"/>
      <c r="H8" s="70" t="s">
        <v>335</v>
      </c>
      <c r="I8" s="99" t="s">
        <v>56</v>
      </c>
      <c r="J8" s="31"/>
    </row>
    <row r="9" spans="1:10" ht="12.75">
      <c r="A9" s="60"/>
      <c r="B9" s="61"/>
      <c r="C9" s="61"/>
      <c r="D9" s="61"/>
      <c r="E9" s="61"/>
      <c r="F9" s="61"/>
      <c r="G9" s="61"/>
      <c r="H9" s="61"/>
      <c r="I9" s="67"/>
      <c r="J9" s="31"/>
    </row>
    <row r="10" spans="1:10" ht="12.75">
      <c r="A10" s="68" t="s">
        <v>4</v>
      </c>
      <c r="B10" s="61"/>
      <c r="C10" s="69" t="str">
        <f>'Stavební rozpočet'!C8</f>
        <v xml:space="preserve"> </v>
      </c>
      <c r="D10" s="61"/>
      <c r="E10" s="69" t="s">
        <v>245</v>
      </c>
      <c r="F10" s="69" t="str">
        <f>'Stavební rozpočet'!I8</f>
        <v>Kamila Možná</v>
      </c>
      <c r="G10" s="61"/>
      <c r="H10" s="70" t="s">
        <v>336</v>
      </c>
      <c r="I10" s="102" t="str">
        <f>'Stavební rozpočet'!F8</f>
        <v>15.07.2020</v>
      </c>
      <c r="J10" s="31"/>
    </row>
    <row r="11" spans="1:10" ht="12.75">
      <c r="A11" s="100"/>
      <c r="B11" s="101"/>
      <c r="C11" s="101"/>
      <c r="D11" s="101"/>
      <c r="E11" s="101"/>
      <c r="F11" s="101"/>
      <c r="G11" s="101"/>
      <c r="H11" s="101"/>
      <c r="I11" s="103"/>
      <c r="J11" s="31"/>
    </row>
    <row r="12" spans="1:9" ht="23.45" customHeight="1">
      <c r="A12" s="104" t="s">
        <v>296</v>
      </c>
      <c r="B12" s="105"/>
      <c r="C12" s="105"/>
      <c r="D12" s="105"/>
      <c r="E12" s="105"/>
      <c r="F12" s="105"/>
      <c r="G12" s="105"/>
      <c r="H12" s="105"/>
      <c r="I12" s="105"/>
    </row>
    <row r="13" spans="1:10" ht="26.45" customHeight="1">
      <c r="A13" s="39" t="s">
        <v>297</v>
      </c>
      <c r="B13" s="106" t="s">
        <v>309</v>
      </c>
      <c r="C13" s="107"/>
      <c r="D13" s="39" t="s">
        <v>312</v>
      </c>
      <c r="E13" s="106" t="s">
        <v>321</v>
      </c>
      <c r="F13" s="107"/>
      <c r="G13" s="39" t="s">
        <v>322</v>
      </c>
      <c r="H13" s="106" t="s">
        <v>337</v>
      </c>
      <c r="I13" s="107"/>
      <c r="J13" s="31"/>
    </row>
    <row r="14" spans="1:10" ht="15.2" customHeight="1">
      <c r="A14" s="40" t="s">
        <v>298</v>
      </c>
      <c r="B14" s="44" t="s">
        <v>310</v>
      </c>
      <c r="C14" s="48">
        <f>SUM('Stavební rozpočet'!AB12:AB138)</f>
        <v>0</v>
      </c>
      <c r="D14" s="108" t="s">
        <v>313</v>
      </c>
      <c r="E14" s="109"/>
      <c r="F14" s="48">
        <v>0</v>
      </c>
      <c r="G14" s="108" t="s">
        <v>225</v>
      </c>
      <c r="H14" s="109"/>
      <c r="I14" s="48">
        <v>0</v>
      </c>
      <c r="J14" s="31"/>
    </row>
    <row r="15" spans="1:10" ht="15.2" customHeight="1">
      <c r="A15" s="41"/>
      <c r="B15" s="44" t="s">
        <v>255</v>
      </c>
      <c r="C15" s="48">
        <f>SUM('Stavební rozpočet'!AC12:AC138)</f>
        <v>0</v>
      </c>
      <c r="D15" s="108" t="s">
        <v>314</v>
      </c>
      <c r="E15" s="109"/>
      <c r="F15" s="48">
        <v>0</v>
      </c>
      <c r="G15" s="108" t="s">
        <v>323</v>
      </c>
      <c r="H15" s="109"/>
      <c r="I15" s="48">
        <v>0</v>
      </c>
      <c r="J15" s="31"/>
    </row>
    <row r="16" spans="1:10" ht="15.2" customHeight="1">
      <c r="A16" s="40" t="s">
        <v>299</v>
      </c>
      <c r="B16" s="44" t="s">
        <v>310</v>
      </c>
      <c r="C16" s="48">
        <f>SUM('Stavební rozpočet'!AD12:AD138)</f>
        <v>0</v>
      </c>
      <c r="D16" s="108" t="s">
        <v>315</v>
      </c>
      <c r="E16" s="109"/>
      <c r="F16" s="48">
        <v>0</v>
      </c>
      <c r="G16" s="108" t="s">
        <v>324</v>
      </c>
      <c r="H16" s="109"/>
      <c r="I16" s="48">
        <v>0</v>
      </c>
      <c r="J16" s="31"/>
    </row>
    <row r="17" spans="1:10" ht="15.2" customHeight="1">
      <c r="A17" s="41"/>
      <c r="B17" s="44" t="s">
        <v>255</v>
      </c>
      <c r="C17" s="48">
        <f>SUM('Stavební rozpočet'!AE12:AE138)</f>
        <v>0</v>
      </c>
      <c r="D17" s="108"/>
      <c r="E17" s="109"/>
      <c r="F17" s="49"/>
      <c r="G17" s="108" t="s">
        <v>226</v>
      </c>
      <c r="H17" s="109"/>
      <c r="I17" s="48">
        <v>0</v>
      </c>
      <c r="J17" s="31"/>
    </row>
    <row r="18" spans="1:10" ht="15.2" customHeight="1">
      <c r="A18" s="40" t="s">
        <v>300</v>
      </c>
      <c r="B18" s="44" t="s">
        <v>310</v>
      </c>
      <c r="C18" s="48">
        <f>SUM('Stavební rozpočet'!AF12:AF138)</f>
        <v>0</v>
      </c>
      <c r="D18" s="108"/>
      <c r="E18" s="109"/>
      <c r="F18" s="49"/>
      <c r="G18" s="108" t="s">
        <v>325</v>
      </c>
      <c r="H18" s="109"/>
      <c r="I18" s="48">
        <v>0</v>
      </c>
      <c r="J18" s="31"/>
    </row>
    <row r="19" spans="1:10" ht="15.2" customHeight="1">
      <c r="A19" s="41"/>
      <c r="B19" s="44" t="s">
        <v>255</v>
      </c>
      <c r="C19" s="48">
        <f>SUM('Stavební rozpočet'!AG12:AG138)</f>
        <v>0</v>
      </c>
      <c r="D19" s="108"/>
      <c r="E19" s="109"/>
      <c r="F19" s="49"/>
      <c r="G19" s="108" t="s">
        <v>326</v>
      </c>
      <c r="H19" s="109"/>
      <c r="I19" s="48">
        <v>0</v>
      </c>
      <c r="J19" s="31"/>
    </row>
    <row r="20" spans="1:10" ht="15.2" customHeight="1">
      <c r="A20" s="110" t="s">
        <v>301</v>
      </c>
      <c r="B20" s="111"/>
      <c r="C20" s="48">
        <f>SUM('Stavební rozpočet'!AH12:AH138)</f>
        <v>0</v>
      </c>
      <c r="D20" s="108"/>
      <c r="E20" s="109"/>
      <c r="F20" s="49"/>
      <c r="G20" s="108"/>
      <c r="H20" s="109"/>
      <c r="I20" s="49"/>
      <c r="J20" s="31"/>
    </row>
    <row r="21" spans="1:10" ht="15.2" customHeight="1">
      <c r="A21" s="110" t="s">
        <v>302</v>
      </c>
      <c r="B21" s="111"/>
      <c r="C21" s="48">
        <f>SUM('Stavební rozpočet'!Z12:Z138)</f>
        <v>0</v>
      </c>
      <c r="D21" s="108"/>
      <c r="E21" s="109"/>
      <c r="F21" s="49"/>
      <c r="G21" s="108"/>
      <c r="H21" s="109"/>
      <c r="I21" s="49"/>
      <c r="J21" s="31"/>
    </row>
    <row r="22" spans="1:10" ht="16.7" customHeight="1">
      <c r="A22" s="110" t="s">
        <v>303</v>
      </c>
      <c r="B22" s="111"/>
      <c r="C22" s="48">
        <f>SUM(C14:C21)</f>
        <v>0</v>
      </c>
      <c r="D22" s="110" t="s">
        <v>316</v>
      </c>
      <c r="E22" s="111"/>
      <c r="F22" s="48">
        <f>SUM(F14:F21)</f>
        <v>0</v>
      </c>
      <c r="G22" s="110" t="s">
        <v>327</v>
      </c>
      <c r="H22" s="111"/>
      <c r="I22" s="48">
        <f>SUM(I14:I21)</f>
        <v>0</v>
      </c>
      <c r="J22" s="31"/>
    </row>
    <row r="23" spans="1:10" ht="15.2" customHeight="1">
      <c r="A23" s="8"/>
      <c r="B23" s="8"/>
      <c r="C23" s="46"/>
      <c r="D23" s="110" t="s">
        <v>317</v>
      </c>
      <c r="E23" s="111"/>
      <c r="F23" s="50">
        <v>0</v>
      </c>
      <c r="G23" s="110" t="s">
        <v>328</v>
      </c>
      <c r="H23" s="111"/>
      <c r="I23" s="48">
        <v>0</v>
      </c>
      <c r="J23" s="31"/>
    </row>
    <row r="24" spans="4:9" ht="15.2" customHeight="1">
      <c r="D24" s="8"/>
      <c r="E24" s="8"/>
      <c r="F24" s="51"/>
      <c r="G24" s="110" t="s">
        <v>329</v>
      </c>
      <c r="H24" s="111"/>
      <c r="I24" s="53"/>
    </row>
    <row r="25" spans="6:10" ht="15.2" customHeight="1">
      <c r="F25" s="52"/>
      <c r="G25" s="110" t="s">
        <v>330</v>
      </c>
      <c r="H25" s="111"/>
      <c r="I25" s="48">
        <v>0</v>
      </c>
      <c r="J25" s="31"/>
    </row>
    <row r="26" spans="1:9" ht="12.75">
      <c r="A26" s="38"/>
      <c r="B26" s="38"/>
      <c r="C26" s="38"/>
      <c r="G26" s="8"/>
      <c r="H26" s="8"/>
      <c r="I26" s="8"/>
    </row>
    <row r="27" spans="1:9" ht="15.2" customHeight="1">
      <c r="A27" s="112" t="s">
        <v>304</v>
      </c>
      <c r="B27" s="113"/>
      <c r="C27" s="54">
        <f>SUM('Stavební rozpočet'!AJ12:AJ138)</f>
        <v>0</v>
      </c>
      <c r="D27" s="47"/>
      <c r="E27" s="38"/>
      <c r="F27" s="38"/>
      <c r="G27" s="38"/>
      <c r="H27" s="38"/>
      <c r="I27" s="38"/>
    </row>
    <row r="28" spans="1:10" ht="15.2" customHeight="1">
      <c r="A28" s="112" t="s">
        <v>305</v>
      </c>
      <c r="B28" s="113"/>
      <c r="C28" s="54">
        <f>SUM('Stavební rozpočet'!AK12:AK138)</f>
        <v>0</v>
      </c>
      <c r="D28" s="112" t="s">
        <v>318</v>
      </c>
      <c r="E28" s="113"/>
      <c r="F28" s="54">
        <f>ROUND(C28*(15/100),2)</f>
        <v>0</v>
      </c>
      <c r="G28" s="112" t="s">
        <v>331</v>
      </c>
      <c r="H28" s="113"/>
      <c r="I28" s="54">
        <f>SUM(C27:C29)</f>
        <v>0</v>
      </c>
      <c r="J28" s="31"/>
    </row>
    <row r="29" spans="1:10" ht="15.2" customHeight="1">
      <c r="A29" s="112" t="s">
        <v>306</v>
      </c>
      <c r="B29" s="113"/>
      <c r="C29" s="54">
        <f>SUM('Stavební rozpočet'!AL12:AL138)+(F22+I22+F23+I23+I24+I25)</f>
        <v>0</v>
      </c>
      <c r="D29" s="112" t="s">
        <v>319</v>
      </c>
      <c r="E29" s="113"/>
      <c r="F29" s="54">
        <f>ROUND(C29*(21/100),2)</f>
        <v>0</v>
      </c>
      <c r="G29" s="112" t="s">
        <v>332</v>
      </c>
      <c r="H29" s="113"/>
      <c r="I29" s="54">
        <f>SUM(F28:F29)+I28</f>
        <v>0</v>
      </c>
      <c r="J29" s="31"/>
    </row>
    <row r="30" spans="1:9" ht="12.75">
      <c r="A30" s="42"/>
      <c r="B30" s="42"/>
      <c r="C30" s="42"/>
      <c r="D30" s="42"/>
      <c r="E30" s="42"/>
      <c r="F30" s="42"/>
      <c r="G30" s="42"/>
      <c r="H30" s="42"/>
      <c r="I30" s="42"/>
    </row>
    <row r="31" spans="1:10" ht="14.45" customHeight="1">
      <c r="A31" s="114" t="s">
        <v>307</v>
      </c>
      <c r="B31" s="115"/>
      <c r="C31" s="116"/>
      <c r="D31" s="114" t="s">
        <v>320</v>
      </c>
      <c r="E31" s="115"/>
      <c r="F31" s="116"/>
      <c r="G31" s="114" t="s">
        <v>333</v>
      </c>
      <c r="H31" s="115"/>
      <c r="I31" s="116"/>
      <c r="J31" s="32"/>
    </row>
    <row r="32" spans="1:10" ht="14.45" customHeight="1">
      <c r="A32" s="117"/>
      <c r="B32" s="118"/>
      <c r="C32" s="119"/>
      <c r="D32" s="117"/>
      <c r="E32" s="118"/>
      <c r="F32" s="119"/>
      <c r="G32" s="117"/>
      <c r="H32" s="118"/>
      <c r="I32" s="119"/>
      <c r="J32" s="32"/>
    </row>
    <row r="33" spans="1:10" ht="14.45" customHeight="1">
      <c r="A33" s="117"/>
      <c r="B33" s="118"/>
      <c r="C33" s="119"/>
      <c r="D33" s="117"/>
      <c r="E33" s="118"/>
      <c r="F33" s="119"/>
      <c r="G33" s="117"/>
      <c r="H33" s="118"/>
      <c r="I33" s="119"/>
      <c r="J33" s="32"/>
    </row>
    <row r="34" spans="1:10" ht="14.45" customHeight="1">
      <c r="A34" s="117"/>
      <c r="B34" s="118"/>
      <c r="C34" s="119"/>
      <c r="D34" s="117"/>
      <c r="E34" s="118"/>
      <c r="F34" s="119"/>
      <c r="G34" s="117"/>
      <c r="H34" s="118"/>
      <c r="I34" s="119"/>
      <c r="J34" s="32"/>
    </row>
    <row r="35" spans="1:10" ht="14.45" customHeight="1">
      <c r="A35" s="120" t="s">
        <v>308</v>
      </c>
      <c r="B35" s="121"/>
      <c r="C35" s="122"/>
      <c r="D35" s="120" t="s">
        <v>308</v>
      </c>
      <c r="E35" s="121"/>
      <c r="F35" s="122"/>
      <c r="G35" s="120" t="s">
        <v>308</v>
      </c>
      <c r="H35" s="121"/>
      <c r="I35" s="122"/>
      <c r="J35" s="32"/>
    </row>
    <row r="36" spans="1:9" ht="11.25" customHeight="1">
      <c r="A36" s="43" t="s">
        <v>57</v>
      </c>
      <c r="B36" s="45"/>
      <c r="C36" s="45"/>
      <c r="D36" s="45"/>
      <c r="E36" s="45"/>
      <c r="F36" s="45"/>
      <c r="G36" s="45"/>
      <c r="H36" s="45"/>
      <c r="I36" s="45"/>
    </row>
    <row r="37" spans="1:9" ht="12.75">
      <c r="A37" s="69"/>
      <c r="B37" s="61"/>
      <c r="C37" s="61"/>
      <c r="D37" s="61"/>
      <c r="E37" s="61"/>
      <c r="F37" s="61"/>
      <c r="G37" s="61"/>
      <c r="H37" s="61"/>
      <c r="I37" s="61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Kamila</cp:lastModifiedBy>
  <dcterms:created xsi:type="dcterms:W3CDTF">2020-07-16T07:23:15Z</dcterms:created>
  <dcterms:modified xsi:type="dcterms:W3CDTF">2020-07-16T07:23:15Z</dcterms:modified>
  <cp:category/>
  <cp:version/>
  <cp:contentType/>
  <cp:contentStatus/>
</cp:coreProperties>
</file>