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<sst xmlns="http://schemas.openxmlformats.org/spreadsheetml/2006/main" count="1911" uniqueCount="520">
  <si>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</si>
  <si>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</si>
  <si>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</si>
  <si>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</si>
  <si>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</si>
  <si>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</si>
  <si>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</si>
  <si>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</si>
  <si>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</si>
  <si>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</si>
  <si>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</si>
  <si>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</si>
  <si>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</si>
  <si>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</si>
  <si>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</si>
  <si>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</si>
  <si>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</si>
  <si>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</si>
  <si>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</si>
  <si>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</si>
  <si>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</si>
  <si>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</si>
  <si>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</si>
  <si>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</si>
  <si>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</si>
  <si>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</si>
  <si>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</si>
  <si>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</si>
  <si>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</si>
  <si>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</si>
  <si>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</si>
  <si>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</si>
  <si>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</si>
  <si>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</si>
  <si>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</si>
  <si>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</si>
  <si>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</si>
  <si>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</si>
  <si>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</si>
  <si>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</si>
  <si>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</si>
  <si>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</si>
  <si>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</si>
  <si>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</si>
  <si>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</si>
  <si>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</si>
  <si>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</si>
  <si>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</si>
  <si>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</si>
  <si>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</si>
  <si>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</si>
  <si>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</si>
  <si>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</si>
  <si>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</si>
  <si>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</si>
  <si>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</si>
  <si>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</si>
  <si>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</si>
  <si>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</si>
  <si>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</si>
  <si>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</si>
  <si>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</si>
  <si>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</si>
  <si>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</si>
  <si>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</si>
  <si>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</si>
  <si>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</si>
  <si>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</si>
  <si>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</si>
  <si>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</si>
  <si>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</si>
  <si>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</si>
  <si>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</si>
  <si>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</si>
  <si>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</si>
  <si>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</si>
  <si>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</si>
  <si>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</si>
  <si>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</si>
  <si>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</si>
  <si>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</si>
  <si>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</si>
  <si>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</si>
  <si>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</si>
  <si>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</si>
  <si>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</si>
  <si>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</si>
  <si>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</si>
  <si>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</si>
  <si>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</si>
  <si>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</si>
  <si>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</si>
  <si>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</si>
  <si>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</si>
  <si>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</si>
  <si>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</si>
  <si>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</si>
  <si>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</si>
  <si>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</si>
  <si>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</si>
  <si>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</si>
  <si>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</si>
  <si>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</si>
  <si>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</si>
  <si>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</si>
  <si>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</si>
  <si>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</si>
  <si>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</si>
  <si>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</si>
  <si>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</si>
  <si>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</si>
  <si>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</si>
  <si>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</si>
  <si>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</si>
  <si>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</si>
  <si>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</si>
  <si>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</si>
  <si>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</si>
  <si>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</si>
  <si>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</si>
  <si>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</si>
  <si>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Poznámka:</t>
  </si>
  <si>
    <t>Objekt</t>
  </si>
  <si>
    <t>Kód</t>
  </si>
  <si>
    <t>340239212RT2</t>
  </si>
  <si>
    <t>411236211R00</t>
  </si>
  <si>
    <t>612423731RT2</t>
  </si>
  <si>
    <t>721</t>
  </si>
  <si>
    <t>721170963R00</t>
  </si>
  <si>
    <t>721170965R00</t>
  </si>
  <si>
    <t>721170967R00</t>
  </si>
  <si>
    <t>721171808R00</t>
  </si>
  <si>
    <t>721176102R00</t>
  </si>
  <si>
    <t>721176103R00</t>
  </si>
  <si>
    <t>721176105R00</t>
  </si>
  <si>
    <t>721176104R00</t>
  </si>
  <si>
    <t>721176114R00</t>
  </si>
  <si>
    <t>721176115R00</t>
  </si>
  <si>
    <t>721176117R00</t>
  </si>
  <si>
    <t>721176134R00</t>
  </si>
  <si>
    <t>721176135R00</t>
  </si>
  <si>
    <t>721176136R00</t>
  </si>
  <si>
    <t>721176137R00</t>
  </si>
  <si>
    <t>721194104R00</t>
  </si>
  <si>
    <t>721194105R00</t>
  </si>
  <si>
    <t>721194107R00</t>
  </si>
  <si>
    <t>721194109R00</t>
  </si>
  <si>
    <t>721210817R00</t>
  </si>
  <si>
    <t>721223423RT2</t>
  </si>
  <si>
    <t>721273200RT3</t>
  </si>
  <si>
    <t>721290123R00</t>
  </si>
  <si>
    <t>721290822R00</t>
  </si>
  <si>
    <t>721140802R00</t>
  </si>
  <si>
    <t>721140806R00</t>
  </si>
  <si>
    <t>722</t>
  </si>
  <si>
    <t>722172311R00</t>
  </si>
  <si>
    <t>722172312R00</t>
  </si>
  <si>
    <t>722172313R00</t>
  </si>
  <si>
    <t>722172314R00</t>
  </si>
  <si>
    <t>722172315R00</t>
  </si>
  <si>
    <t>722172331R00</t>
  </si>
  <si>
    <t>722172332R00</t>
  </si>
  <si>
    <t>722172333R00</t>
  </si>
  <si>
    <t>722172334R00</t>
  </si>
  <si>
    <t>722172336R00</t>
  </si>
  <si>
    <t>722172917R00</t>
  </si>
  <si>
    <t>722172915R00</t>
  </si>
  <si>
    <t>722172914R00</t>
  </si>
  <si>
    <t>722172913R00</t>
  </si>
  <si>
    <t>722181211RT7</t>
  </si>
  <si>
    <t>722181211RT8</t>
  </si>
  <si>
    <t>722181211RU1</t>
  </si>
  <si>
    <t>722181211RV9</t>
  </si>
  <si>
    <t>722181212RW6</t>
  </si>
  <si>
    <t>722181225RT7</t>
  </si>
  <si>
    <t>722181225RT8</t>
  </si>
  <si>
    <t>722181225RU1</t>
  </si>
  <si>
    <t>722181225RV9</t>
  </si>
  <si>
    <t>722181225RY3</t>
  </si>
  <si>
    <t>722190901R00</t>
  </si>
  <si>
    <t>722190401R00</t>
  </si>
  <si>
    <t>722202412R00</t>
  </si>
  <si>
    <t>722202413R00</t>
  </si>
  <si>
    <t>722202414R00</t>
  </si>
  <si>
    <t>722202415R00</t>
  </si>
  <si>
    <t>722202416R00</t>
  </si>
  <si>
    <t>722202417R00</t>
  </si>
  <si>
    <t>722130803R00</t>
  </si>
  <si>
    <t>722280106R00</t>
  </si>
  <si>
    <t>722280107R00</t>
  </si>
  <si>
    <t>722280108R00</t>
  </si>
  <si>
    <t>722290234R00</t>
  </si>
  <si>
    <t>722190402R00</t>
  </si>
  <si>
    <t>722220851R00</t>
  </si>
  <si>
    <t>722290822R00</t>
  </si>
  <si>
    <t>725</t>
  </si>
  <si>
    <t>725014141R00</t>
  </si>
  <si>
    <t>725014173R00</t>
  </si>
  <si>
    <t>725014131RT1</t>
  </si>
  <si>
    <t>725017153R00</t>
  </si>
  <si>
    <t>725017331R00</t>
  </si>
  <si>
    <t>725017134R00</t>
  </si>
  <si>
    <t>725291131R00</t>
  </si>
  <si>
    <t>725291135R00</t>
  </si>
  <si>
    <t>725249102R00</t>
  </si>
  <si>
    <t>55423033.A</t>
  </si>
  <si>
    <t>725110811R00</t>
  </si>
  <si>
    <t>725210821R00</t>
  </si>
  <si>
    <t>725240812R00</t>
  </si>
  <si>
    <t>725810402R00</t>
  </si>
  <si>
    <t>725810811R00</t>
  </si>
  <si>
    <t>725819201R00</t>
  </si>
  <si>
    <t>55161681</t>
  </si>
  <si>
    <t>725823111RT1</t>
  </si>
  <si>
    <t>725825114RT1</t>
  </si>
  <si>
    <t>725845111RT1</t>
  </si>
  <si>
    <t>725860184RT1</t>
  </si>
  <si>
    <t>726</t>
  </si>
  <si>
    <t>726211332R00</t>
  </si>
  <si>
    <t>726212121R00</t>
  </si>
  <si>
    <t>734</t>
  </si>
  <si>
    <t>734295132R00</t>
  </si>
  <si>
    <t>781</t>
  </si>
  <si>
    <t>781441012R00</t>
  </si>
  <si>
    <t>781900010RA0</t>
  </si>
  <si>
    <t>781101111R00</t>
  </si>
  <si>
    <t>781101142R00</t>
  </si>
  <si>
    <t>781111115R00</t>
  </si>
  <si>
    <t>900      R03</t>
  </si>
  <si>
    <t>974031167R00</t>
  </si>
  <si>
    <t>979011321R00</t>
  </si>
  <si>
    <t>979011331R00</t>
  </si>
  <si>
    <t>979011332R00</t>
  </si>
  <si>
    <t>979011335R00</t>
  </si>
  <si>
    <t>979092111R00</t>
  </si>
  <si>
    <t>979092119R00</t>
  </si>
  <si>
    <t>979097012R00</t>
  </si>
  <si>
    <t>972012211R00</t>
  </si>
  <si>
    <t>974031489R00</t>
  </si>
  <si>
    <t>S</t>
  </si>
  <si>
    <t>979011111R00</t>
  </si>
  <si>
    <t>979081111RT3</t>
  </si>
  <si>
    <t>979081121RT3</t>
  </si>
  <si>
    <t>979082111R00</t>
  </si>
  <si>
    <t>979990106R00</t>
  </si>
  <si>
    <t>Školka Ladova</t>
  </si>
  <si>
    <t>Část ZTI</t>
  </si>
  <si>
    <t>Litvínov</t>
  </si>
  <si>
    <t>Zkrácený popis</t>
  </si>
  <si>
    <t>Rozměry</t>
  </si>
  <si>
    <t>Stěny a příčky</t>
  </si>
  <si>
    <t>Zazdívka otvorů pl.4 m2,cihlami tl.zdi nad 10 cm</t>
  </si>
  <si>
    <t>Stropy a stropní konstrukce (pro pozemní stavby)</t>
  </si>
  <si>
    <t>Zazdívka otvorů 0,09m2 v klenbě cihlami tl.do 15cm</t>
  </si>
  <si>
    <t>Úprava povrchů vnitřní</t>
  </si>
  <si>
    <t>Omítka rýh stěn vápenná šířky nad 30 cm, štuková</t>
  </si>
  <si>
    <t>Vnitřní kanalizace</t>
  </si>
  <si>
    <t>Oprava - propojení dosavadního potrubí PVC D 75</t>
  </si>
  <si>
    <t>Oprava - propojení dosavadního potrubí PVC D 110</t>
  </si>
  <si>
    <t>Oprava - propojení dosavadního potrubí PVC D 160</t>
  </si>
  <si>
    <t>Demontáž potrubí z PVC do D 114 mm</t>
  </si>
  <si>
    <t>Potrubí HT připojovací D 40 x 1,8 mm</t>
  </si>
  <si>
    <t>Potrubí HT připojovací D 50 x 1,8 mm</t>
  </si>
  <si>
    <t>Potrubí HT připojovací D 110 x 2,7 mm</t>
  </si>
  <si>
    <t>Potrubí HT připojovací D 75 x 1,9 mm</t>
  </si>
  <si>
    <t>Potrubí HT odpadní svislé D 75 x 1,9 mm</t>
  </si>
  <si>
    <t>Potrubí HT odpadní svislé D 110 x 2,7 mm</t>
  </si>
  <si>
    <t>Potrubí HT odpadní svislé D 160 x 3,9 mm</t>
  </si>
  <si>
    <t>Potrubí HT svodné (ležaté) zavěšené D 75 x 1,9 mm</t>
  </si>
  <si>
    <t>Potrubí HT svodné (ležaté) zavěšené D 110 x 2,7 mm</t>
  </si>
  <si>
    <t>Potrubí HT svodné (ležaté) zavěšené D 125 x 3,1 mm</t>
  </si>
  <si>
    <t>Potrubí HT svodné (ležaté) zavěšené D 160 x 3,9 mm</t>
  </si>
  <si>
    <t>Vyvedení odpadních výpustek D 40 x 1,8</t>
  </si>
  <si>
    <t>Vyvedení odpadních výpustek D 50 x 1,8</t>
  </si>
  <si>
    <t>Vyvedení odpadních výpustek D 75 x 1,9</t>
  </si>
  <si>
    <t>Vyvedení odpadních výpustek D 110 x 2,3</t>
  </si>
  <si>
    <t>Demontáž vpusti vanové DN 70</t>
  </si>
  <si>
    <t>Vpusť podlahová se zápachovou uzávěrkou HL 310N</t>
  </si>
  <si>
    <t>Souprava ventilační střešní HL</t>
  </si>
  <si>
    <t>Zkouška těsnosti kanalizace kouřem DN 300</t>
  </si>
  <si>
    <t>Přesun vybouraných hmot - kanalizace, H 6 - 12 m</t>
  </si>
  <si>
    <t>Demontáž potrubí litinového DN 100</t>
  </si>
  <si>
    <t>Demontáž potrubí litinového DN 200</t>
  </si>
  <si>
    <t>Vnitřní vodovod</t>
  </si>
  <si>
    <t>Potrubí z PPR, studená, D 20x2,8 mm, vč.zed.výpom.</t>
  </si>
  <si>
    <t>Potrubí z PPR, studená, D 25x3,5 mm, vč.zed.výpom.</t>
  </si>
  <si>
    <t>Potrubí z PPR, studená, D 32x4,4 mm, vč.zed.výpom.</t>
  </si>
  <si>
    <t>Potrubí z PPR, studená, D 40x5,5 mm, vč.zed.výpom.</t>
  </si>
  <si>
    <t>Potrubí z PPR, studená, D 50x6,9 mm, vč.zed.výpom.</t>
  </si>
  <si>
    <t>Potrubí z PPR, teplá, D 20x3,4 mm, vč. zed. výpom.</t>
  </si>
  <si>
    <t>Potrubí z PPR, teplá, D 25x4,2 mm, vč. zed. výpom.</t>
  </si>
  <si>
    <t>Potrubí z PPR, teplá, D 32x5,4 mm, vč. zed. výpom.</t>
  </si>
  <si>
    <t>Potrubí z PPR, teplá, D 40x6,7 mm, vč. zed. výpom.</t>
  </si>
  <si>
    <t>Potrubí z PPR, teplá, D 63x10,5 mm, vč .zed.výpom.</t>
  </si>
  <si>
    <t>Propojení plastového potrubí polyf.D 63 mm,vodovod</t>
  </si>
  <si>
    <t>Propojení plastového potrubí polyf.D 40 mm,vodovod</t>
  </si>
  <si>
    <t>Propojení plastového potrubí polyf.D 32 mm,vodovod</t>
  </si>
  <si>
    <t>Propojení plastového potrubí polyf.D 25 mm,vodovod</t>
  </si>
  <si>
    <t>Izolace návleková MIRELON PRO tl. stěny 6 mm</t>
  </si>
  <si>
    <t>Izolace návleková MIRELON PRO tl. stěny 9 mm</t>
  </si>
  <si>
    <t>Izolace návleková MIRELON POLAR tl. stěny 25 mm</t>
  </si>
  <si>
    <t>Uzavření/otevření vodovodního potrubí při opravě</t>
  </si>
  <si>
    <t>Vyvedení a upevnění výpustek DN 15</t>
  </si>
  <si>
    <t>Kohout kulový nerozebíratelný PP-R INSTAPLAST D 20</t>
  </si>
  <si>
    <t>Kohout kulový nerozebíratelný PP-R INSTAPLAST D 25</t>
  </si>
  <si>
    <t>Kohout kulový nerozebíratelný PP-R INSTAPLAST D 32</t>
  </si>
  <si>
    <t>Kohout kulový nerozebíratelný PP-R INSTAPLAST D 40</t>
  </si>
  <si>
    <t>Kohout kulový nerozebíratelný PP-R INSTAPLAST D 50</t>
  </si>
  <si>
    <t>Kohout kulový nerozebíratelný PP-R INSTAPLAST D 63</t>
  </si>
  <si>
    <t>Demontáž potrubí ocelových závitových DN 50</t>
  </si>
  <si>
    <t>Tlaková zkouška vodovodního potrubí DN 32</t>
  </si>
  <si>
    <t>Tlaková zkouška vodovodního potrubí DN 40</t>
  </si>
  <si>
    <t>Tlaková zkouška vodovodního potrubí DN 50</t>
  </si>
  <si>
    <t>Proplach a dezinfekce vodovod.potrubí DN 80</t>
  </si>
  <si>
    <t>Vyvedení a upevnění výpustek DN 20</t>
  </si>
  <si>
    <t>Demontáž armatur s jedním závitem G 3/4</t>
  </si>
  <si>
    <t>Přesun vybouraných hmot - vodovody, H 6 - 12 m</t>
  </si>
  <si>
    <t>Zařizovací předměty</t>
  </si>
  <si>
    <t>Klozet závěsný OLYMP ZTP + sedátko, bílý</t>
  </si>
  <si>
    <t>Klozet pro mateřské školy, bílý</t>
  </si>
  <si>
    <t>Klozet závěsný OLYMP + sedátko, bílý</t>
  </si>
  <si>
    <t>Umyvadlo invalidní  64 x 55 cm, bílé</t>
  </si>
  <si>
    <t>Umývátko na šrouby pro mateřské školy, bílé</t>
  </si>
  <si>
    <t>Umyvadlo na šrouby OLYMP Deep 60 x 45 cm, bílé</t>
  </si>
  <si>
    <t>Madlo dvojité pevné bílé Novaservis dl. 564 mm</t>
  </si>
  <si>
    <t>Madlo dvojité sklopné bílé Novaservis dl. 572 mm</t>
  </si>
  <si>
    <t>Montáž sprchových mís a vaniček</t>
  </si>
  <si>
    <t>Sprchová vanička akrylátová Odeon 90x75x15 cm 67 l</t>
  </si>
  <si>
    <t>Demontáž klozetů splachovacích</t>
  </si>
  <si>
    <t>Demontáž umyvadel bez výtokových armatur</t>
  </si>
  <si>
    <t>Demontáž sprchových mís bez výtokových armatur</t>
  </si>
  <si>
    <t>Ventil rohový bez přípoj. trubičky TE 66 G 1/2</t>
  </si>
  <si>
    <t>Demontáž ventilu výtokového nástěnného</t>
  </si>
  <si>
    <t>Montáž ventilu nástěnného  G 1/2</t>
  </si>
  <si>
    <t>Umyvadlový výtokový ventil PRESTO 705</t>
  </si>
  <si>
    <t>Baterie umyvadlová stoján. ruční, bez otvír.odpadu</t>
  </si>
  <si>
    <t>Baterie dřezová nástěnná ruční</t>
  </si>
  <si>
    <t>Baterie sprchová nástěnná ruční, bez příslušenství</t>
  </si>
  <si>
    <t>Sifon pračkový HL406, D 40/50 mm</t>
  </si>
  <si>
    <t>Instalační prefabrikáty</t>
  </si>
  <si>
    <t>Modul-WC Duofix Special, UP320, ZTP, h 112 cm</t>
  </si>
  <si>
    <t>Modul-BASIC TANK SYSTEM, pro stojí WC</t>
  </si>
  <si>
    <t>Armatury</t>
  </si>
  <si>
    <t>Ventil směšovací třícestný RADA 325</t>
  </si>
  <si>
    <t>Obklady (keramické)</t>
  </si>
  <si>
    <t>Obklad vnitřní z obkladaček hutných 150x150 do MC</t>
  </si>
  <si>
    <t>Odsekání obkladů vnitřních</t>
  </si>
  <si>
    <t>Vyrovnání podkladu maltou ze SMS tl. do 7 mm</t>
  </si>
  <si>
    <t>Hydroizolační stěrka dvouvrstvá pod obklady</t>
  </si>
  <si>
    <t>Otvor v obkladačce diamant.korunkou prům.do 30 mm</t>
  </si>
  <si>
    <t>Hodinové zúčtovací sazby (HZS)</t>
  </si>
  <si>
    <t>HZS Rezerva na nepoředvídatelné práce</t>
  </si>
  <si>
    <t>Prorážení otvorů a ostatní bourací práce</t>
  </si>
  <si>
    <t>Vysekání rýh ve zdi cihelné 15 x 30 cm</t>
  </si>
  <si>
    <t>Montáž a demontáž shozu za 2.NP</t>
  </si>
  <si>
    <t>Pronájem shozu  (za metr)</t>
  </si>
  <si>
    <t>Pronájem násypky  (za kus)</t>
  </si>
  <si>
    <t>Pronájem rukávu proti prachu délky 15 m</t>
  </si>
  <si>
    <t>Vyklizení ulehlé suti z pl.do 15 m2/ hl. 2 m-ručně</t>
  </si>
  <si>
    <t>Příplatek za vyklizení ulehlé suti přes 10 m</t>
  </si>
  <si>
    <t>Pronájem kontejneru 7 t</t>
  </si>
  <si>
    <t>Vybourání otvorů strop prefa pl. 0,09 m2, nad 12cm</t>
  </si>
  <si>
    <t>Vysekání rýh zeď cihel. průduchy strop 30 x 45 cm</t>
  </si>
  <si>
    <t>Přesuny sutí</t>
  </si>
  <si>
    <t>Svislá doprava suti a vybour. hmot za 2.NP a 1.PP</t>
  </si>
  <si>
    <t>Odvoz suti a vybour. hmot na skládku do 1 km</t>
  </si>
  <si>
    <t>Příplatek k odvozu za každý další 1 km</t>
  </si>
  <si>
    <t>Vnitrostaveništní doprava suti do 10 m</t>
  </si>
  <si>
    <t>Poplatek za skládku suti - cihelné výrobky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</si>
  <si>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</si>
  <si>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</si>
  <si>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</si>
  <si>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</si>
  <si>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</si>
  <si>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</si>
  <si>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</si>
  <si>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</t>
  </si>
  <si>
    <t>t</t>
  </si>
  <si>
    <t>soubor</t>
  </si>
  <si>
    <t>h</t>
  </si>
  <si>
    <t>den</t>
  </si>
  <si>
    <t>m3</t>
  </si>
  <si>
    <t>Množství</t>
  </si>
  <si>
    <t>61 dní</t>
  </si>
  <si>
    <t>02.07.2018</t>
  </si>
  <si>
    <t>31.08.2018</t>
  </si>
  <si>
    <t>18.04.2018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</si>
  <si>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</si>
  <si>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</si>
  <si>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</si>
  <si>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</si>
  <si>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</si>
  <si>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</si>
  <si>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</si>
  <si>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</si>
  <si>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</si>
  <si>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</si>
  <si>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INTER ART PROJEKT s.r.o.</t>
  </si>
  <si>
    <t>výběrové řízení</t>
  </si>
  <si>
    <t>Šefl</t>
  </si>
  <si>
    <t>Celkem</t>
  </si>
  <si>
    <t>Hmotnost (t)</t>
  </si>
  <si>
    <t>Cenová</t>
  </si>
  <si>
    <t>soustava</t>
  </si>
  <si>
    <t>RTS II / 2016</t>
  </si>
  <si>
    <t>RTS 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</si>
  <si>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</si>
  <si>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</si>
  <si>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</si>
  <si>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</si>
  <si>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</si>
  <si>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</si>
  <si>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</si>
  <si>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</si>
  <si>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</si>
  <si>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</si>
  <si>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41_</t>
  </si>
  <si>
    <t>61_</t>
  </si>
  <si>
    <t>721_</t>
  </si>
  <si>
    <t>722_</t>
  </si>
  <si>
    <t>725_</t>
  </si>
  <si>
    <t>726_</t>
  </si>
  <si>
    <t>734_</t>
  </si>
  <si>
    <t>781_</t>
  </si>
  <si>
    <t>90_</t>
  </si>
  <si>
    <t>97_</t>
  </si>
  <si>
    <t>S_</t>
  </si>
  <si>
    <t>3_</t>
  </si>
  <si>
    <t>4_</t>
  </si>
  <si>
    <t>6_</t>
  </si>
  <si>
    <t>72_</t>
  </si>
  <si>
    <t>73_</t>
  </si>
  <si>
    <t>78_</t>
  </si>
  <si>
    <t>9_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</si>
  <si>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</si>
  <si>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</si>
  <si>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</si>
  <si>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</si>
  <si>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</si>
  <si>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</si>
  <si>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</si>
  <si>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</si>
  <si>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24*0,3+6+12+12+10+12+7+7+5+4+4+4*0,45</t>
  </si>
  <si>
    <t>2+2+3+1</t>
  </si>
  <si>
    <t>10+8+7+4</t>
  </si>
  <si>
    <t>25+10+25+18+30+29+15+15+11+6</t>
  </si>
  <si>
    <t>2,7304+1,4099+0,0624</t>
  </si>
  <si>
    <t>20+25+10+25+25+18+30+15+15</t>
  </si>
  <si>
    <t>29+11+6</t>
  </si>
  <si>
    <t>2+2+8+2+5+8+5+2+2+4+2+10+15</t>
  </si>
  <si>
    <t>2+2+4+3+7+2+8+2+20</t>
  </si>
  <si>
    <t>4+9+4+1+2+0,5+4+4+4+4+4+10</t>
  </si>
  <si>
    <t>20+3+5</t>
  </si>
  <si>
    <t>4+2+6+1+5+8</t>
  </si>
  <si>
    <t>4+10+6+4+4+4+4+5+18+4+2+12,5+10+8+10</t>
  </si>
  <si>
    <t>10+4+4+7+4+4+10</t>
  </si>
  <si>
    <t>10+4+4+4+4+5</t>
  </si>
  <si>
    <t>20+4+4+4+5</t>
  </si>
  <si>
    <t>4+14</t>
  </si>
  <si>
    <t>14+51+4</t>
  </si>
  <si>
    <t>67+50+50,5+28+26+105,5+43+31+37+18</t>
  </si>
  <si>
    <t>67+50+50,5+28+105,5+43+31+37</t>
  </si>
  <si>
    <t>412+26+18</t>
  </si>
  <si>
    <t>4*3</t>
  </si>
  <si>
    <t>3,0552</t>
  </si>
  <si>
    <t>3+15</t>
  </si>
  <si>
    <t>17,15</t>
  </si>
  <si>
    <t>200</t>
  </si>
  <si>
    <t>4*2*30</t>
  </si>
  <si>
    <t>2*30</t>
  </si>
  <si>
    <t>24*0,15*0,3+83*0,3*0,45+0,90602*1,5/1,5</t>
  </si>
  <si>
    <t>6+12+12+10+12+7+7+5+4+4+4</t>
  </si>
  <si>
    <t>24*0,15*0,3+83*0,3*0,45+0,90602*1,5</t>
  </si>
  <si>
    <t>10*24*0,15*0,3+83*0,3*0,45+0,90602*1,5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</si>
  <si>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</si>
  <si>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</si>
  <si>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</si>
  <si>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</si>
  <si>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</si>
  <si>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</si>
  <si>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</si>
  <si>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</si>
  <si>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</si>
  <si>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</si>
  <si>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</si>
  <si>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</si>
  <si>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</si>
  <si>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</si>
  <si>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</si>
  <si>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</si>
  <si>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</si>
  <si>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</si>
  <si>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</si>
  <si>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</si>
  <si>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</si>
  <si>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</si>
  <si>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</si>
  <si>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</si>
  <si>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</si>
  <si>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</si>
  <si>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</si>
  <si>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</si>
  <si>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</si>
  <si>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</si>
  <si>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</si>
  <si>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</si>
  <si>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</si>
  <si>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</si>
  <si>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</si>
  <si>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</si>
  <si>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</si>
  <si>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</si>
  <si>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</si>
  <si>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</si>
  <si>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</si>
  <si>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</si>
  <si>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</si>
  <si>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</si>
  <si>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</si>
  <si>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40233499/CZ40233499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</si>
</sst>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25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8" fillId="2" borderId="7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8" fillId="2" borderId="7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7" xfId="0" applyNumberFormat="1" applyFont="1" applyFill="1" applyBorder="1" applyAlignment="1" applyProtection="1">
      <alignment horizontal="right" vertical="center"/>
      <protection/>
    </xf>
    <xf numFmtId="49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10" fillId="3" borderId="33" xfId="0" applyNumberFormat="1" applyFont="1" applyFill="1" applyBorder="1" applyAlignment="1" applyProtection="1">
      <alignment horizontal="center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49" fontId="11" fillId="3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49" fontId="12" fillId="0" borderId="33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3" borderId="32" xfId="0" applyNumberFormat="1" applyFont="1" applyFill="1" applyBorder="1" applyAlignment="1" applyProtection="1">
      <alignment horizontal="left" vertical="center"/>
      <protection/>
    </xf>
    <xf numFmtId="0" fontId="12" fillId="0" borderId="7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49" fontId="12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4" fontId="12" fillId="0" borderId="33" xfId="0" applyNumberFormat="1" applyFont="1" applyFill="1" applyBorder="1" applyAlignment="1" applyProtection="1">
      <alignment horizontal="right" vertical="center"/>
      <protection/>
    </xf>
    <xf numFmtId="49" fontId="12" fillId="0" borderId="33" xfId="0" applyNumberFormat="1" applyFont="1" applyFill="1" applyBorder="1" applyAlignment="1" applyProtection="1">
      <alignment horizontal="right" vertical="center"/>
      <protection/>
    </xf>
    <xf numFmtId="4" fontId="12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44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3" borderId="4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0"/>
  <sheetViews>
    <sheetView tabSelected="1"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46.7109375" customWidth="1"/>
    <col min="5" max="5" width="6.421875" customWidth="1"/>
    <col min="6" max="6" width="12.8515625" customWidth="1"/>
    <col min="7" max="7" width="12.00390625" customWidth="1"/>
    <col min="8" max="10" width="14.28125" customWidth="1"/>
    <col min="11" max="12" width="11.7109375" customWidth="1"/>
    <col min="13" max="13" width="11.140625" customWidth="1"/>
    <col min="14" max="14" width="0" hidden="1" customWidth="1"/>
    <col min="15" max="48" width="12.140625" hidden="1" customWidth="1"/>
  </cols>
  <sheetData>
    <row r="1" spans="1:13" ht="72.75" customHeight="1">
      <c r="A1" s="124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.75">
      <c r="A2" s="3" t="s">
        <v>1</v>
      </c>
      <c r="B2" s="18"/>
      <c r="C2" s="18"/>
      <c r="D2" s="25" t="s">
        <v>245</v>
      </c>
      <c r="E2" s="28" t="s">
        <v>369</v>
      </c>
      <c r="F2" s="18"/>
      <c r="G2" s="28" t="s">
        <v>383</v>
      </c>
      <c r="H2" s="18"/>
      <c r="I2" s="39" t="s">
        <v>392</v>
      </c>
      <c r="J2" s="39" t="s">
        <v>6</v>
      </c>
      <c r="K2" s="18"/>
      <c r="L2" s="18"/>
      <c r="M2" s="47"/>
      <c r="N2" s="55"/>
    </row>
    <row r="3" spans="1:14" ht="12.75">
      <c r="A3" s="4"/>
      <c r="B3" s="19"/>
      <c r="C3" s="19"/>
      <c r="D3" s="26"/>
      <c r="E3" s="19"/>
      <c r="F3" s="19"/>
      <c r="G3" s="19"/>
      <c r="H3" s="19"/>
      <c r="I3" s="19"/>
      <c r="J3" s="19"/>
      <c r="K3" s="19"/>
      <c r="L3" s="19"/>
      <c r="M3" s="48"/>
      <c r="N3" s="55"/>
    </row>
    <row r="4" spans="1:14" ht="12.75">
      <c r="A4" s="5" t="s">
        <v>2</v>
      </c>
      <c r="B4" s="19"/>
      <c r="C4" s="19"/>
      <c r="D4" s="16" t="s">
        <v>246</v>
      </c>
      <c r="E4" s="29" t="s">
        <v>370</v>
      </c>
      <c r="F4" s="19"/>
      <c r="G4" s="29" t="s">
        <v>384</v>
      </c>
      <c r="H4" s="19"/>
      <c r="I4" s="16" t="s">
        <v>393</v>
      </c>
      <c r="J4" s="16" t="s">
        <v>397</v>
      </c>
      <c r="K4" s="19"/>
      <c r="L4" s="19"/>
      <c r="M4" s="48"/>
      <c r="N4" s="55"/>
    </row>
    <row r="5" spans="1:14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48"/>
      <c r="N5" s="55"/>
    </row>
    <row r="6" spans="1:14" ht="12.75">
      <c r="A6" s="5" t="s">
        <v>3</v>
      </c>
      <c r="B6" s="19"/>
      <c r="C6" s="19"/>
      <c r="D6" s="16" t="s">
        <v>247</v>
      </c>
      <c r="E6" s="29" t="s">
        <v>371</v>
      </c>
      <c r="F6" s="19"/>
      <c r="G6" s="29" t="s">
        <v>385</v>
      </c>
      <c r="H6" s="19"/>
      <c r="I6" s="16" t="s">
        <v>394</v>
      </c>
      <c r="J6" s="16" t="s">
        <v>398</v>
      </c>
      <c r="K6" s="19"/>
      <c r="L6" s="19"/>
      <c r="M6" s="48"/>
      <c r="N6" s="55"/>
    </row>
    <row r="7" spans="1:14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48"/>
      <c r="N7" s="55"/>
    </row>
    <row r="8" spans="1:14" ht="12.75">
      <c r="A8" s="5" t="s">
        <v>4</v>
      </c>
      <c r="B8" s="19"/>
      <c r="C8" s="19"/>
      <c r="D8" s="16">
        <v>8013123</v>
      </c>
      <c r="E8" s="29" t="s">
        <v>372</v>
      </c>
      <c r="F8" s="19"/>
      <c r="G8" s="29" t="s">
        <v>386</v>
      </c>
      <c r="H8" s="19"/>
      <c r="I8" s="16" t="s">
        <v>395</v>
      </c>
      <c r="J8" s="16" t="s">
        <v>399</v>
      </c>
      <c r="K8" s="19"/>
      <c r="L8" s="19"/>
      <c r="M8" s="48"/>
      <c r="N8" s="55"/>
    </row>
    <row r="9" spans="1:14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49"/>
      <c r="N9" s="55"/>
    </row>
    <row r="10" spans="1:14" ht="12.75">
      <c r="A10" s="7" t="s">
        <v>5</v>
      </c>
      <c r="B10" s="21" t="s">
        <v>122</v>
      </c>
      <c r="C10" s="21" t="s">
        <v>123</v>
      </c>
      <c r="D10" s="21" t="s">
        <v>248</v>
      </c>
      <c r="E10" s="21" t="s">
        <v>373</v>
      </c>
      <c r="F10" s="30" t="s">
        <v>382</v>
      </c>
      <c r="G10" s="34" t="s">
        <v>387</v>
      </c>
      <c r="H10" s="36" t="s">
        <v>389</v>
      </c>
      <c r="I10" s="40"/>
      <c r="J10" s="43"/>
      <c r="K10" s="36" t="s">
        <v>401</v>
      </c>
      <c r="L10" s="43"/>
      <c r="M10" s="50" t="s">
        <v>402</v>
      </c>
      <c r="N10" s="56"/>
    </row>
    <row r="11" spans="1:24" ht="12.75">
      <c r="A11" s="8" t="s">
        <v>6</v>
      </c>
      <c r="B11" s="22" t="s">
        <v>6</v>
      </c>
      <c r="C11" s="22" t="s">
        <v>6</v>
      </c>
      <c r="D11" s="27" t="s">
        <v>249</v>
      </c>
      <c r="E11" s="22" t="s">
        <v>6</v>
      </c>
      <c r="F11" s="22" t="s">
        <v>6</v>
      </c>
      <c r="G11" s="35" t="s">
        <v>388</v>
      </c>
      <c r="H11" s="37" t="s">
        <v>390</v>
      </c>
      <c r="I11" s="41" t="s">
        <v>396</v>
      </c>
      <c r="J11" s="44" t="s">
        <v>400</v>
      </c>
      <c r="K11" s="37" t="s">
        <v>387</v>
      </c>
      <c r="L11" s="44" t="s">
        <v>400</v>
      </c>
      <c r="M11" s="51" t="s">
        <v>403</v>
      </c>
      <c r="N11" s="56"/>
      <c r="P11" s="46" t="s">
        <v>406</v>
      </c>
      <c r="Q11" s="46" t="s">
        <v>407</v>
      </c>
      <c r="R11" s="46" t="s">
        <v>408</v>
      </c>
      <c r="S11" s="46" t="s">
        <v>409</v>
      </c>
      <c r="T11" s="46" t="s">
        <v>410</v>
      </c>
      <c r="U11" s="46" t="s">
        <v>411</v>
      </c>
      <c r="V11" s="46" t="s">
        <v>412</v>
      </c>
      <c r="W11" s="46" t="s">
        <v>413</v>
      </c>
      <c r="X11" s="46" t="s">
        <v>414</v>
      </c>
    </row>
    <row r="12" spans="1:37" ht="12.75">
      <c r="A12" s="9"/>
      <c r="B12" s="23"/>
      <c r="C12" s="23" t="s">
        <v>40</v>
      </c>
      <c r="D12" s="23" t="s">
        <v>250</v>
      </c>
      <c r="E12" s="9" t="s">
        <v>6</v>
      </c>
      <c r="F12" s="9" t="s">
        <v>6</v>
      </c>
      <c r="G12" s="9" t="s">
        <v>6</v>
      </c>
      <c r="H12" s="59">
        <f>SUM(H13:H13)</f>
        <v>0</v>
      </c>
      <c r="I12" s="59">
        <f>SUM(I13:I13)</f>
        <v>0</v>
      </c>
      <c r="J12" s="59">
        <f>H12+I12</f>
        <v>0</v>
      </c>
      <c r="K12" s="45"/>
      <c r="L12" s="59">
        <f>SUM(L13:L13)</f>
        <v>11.4025725</v>
      </c>
      <c r="M12" s="45"/>
      <c r="Y12" s="46"/>
      <c r="AI12" s="60">
        <f>SUM(Z13:Z13)</f>
        <v>0</v>
      </c>
      <c r="AJ12" s="60">
        <f>SUM(AA13:AA13)</f>
        <v>0</v>
      </c>
      <c r="AK12" s="60">
        <f>SUM(AB13:AB13)</f>
        <v>0</v>
      </c>
    </row>
    <row r="13" spans="1:48" ht="12.75">
      <c r="A13" s="10" t="s">
        <v>7</v>
      </c>
      <c r="B13" s="10"/>
      <c r="C13" s="10" t="s">
        <v>124</v>
      </c>
      <c r="D13" s="10" t="s">
        <v>251</v>
      </c>
      <c r="E13" s="10" t="s">
        <v>374</v>
      </c>
      <c r="F13" s="31">
        <v>44.55</v>
      </c>
      <c r="G13" s="31">
        <v>0</v>
      </c>
      <c r="H13" s="31">
        <f>F13*AE13</f>
        <v>0</v>
      </c>
      <c r="I13" s="31">
        <f>J13-H13</f>
        <v>0</v>
      </c>
      <c r="J13" s="31">
        <f>F13*G13</f>
        <v>0</v>
      </c>
      <c r="K13" s="31">
        <v>0.25595</v>
      </c>
      <c r="L13" s="31">
        <f>F13*K13</f>
        <v>11.4025725</v>
      </c>
      <c r="M13" s="52" t="s">
        <v>404</v>
      </c>
      <c r="P13" s="57">
        <f>IF(AG13="5",J13,0)</f>
        <v>0</v>
      </c>
      <c r="R13" s="57">
        <f>IF(AG13="1",H13,0)</f>
        <v>0</v>
      </c>
      <c r="S13" s="57">
        <f>IF(AG13="1",I13,0)</f>
        <v>0</v>
      </c>
      <c r="T13" s="57">
        <f>IF(AG13="7",H13,0)</f>
        <v>0</v>
      </c>
      <c r="U13" s="57">
        <f>IF(AG13="7",I13,0)</f>
        <v>0</v>
      </c>
      <c r="V13" s="57">
        <f>IF(AG13="2",H13,0)</f>
        <v>0</v>
      </c>
      <c r="W13" s="57">
        <f>IF(AG13="2",I13,0)</f>
        <v>0</v>
      </c>
      <c r="X13" s="57">
        <f>IF(AG13="0",J13,0)</f>
        <v>0</v>
      </c>
      <c r="Y13" s="46"/>
      <c r="Z13" s="31">
        <f>IF(AD13=0,J13,0)</f>
        <v>0</v>
      </c>
      <c r="AA13" s="31">
        <f>IF(AD13=15,J13,0)</f>
        <v>0</v>
      </c>
      <c r="AB13" s="31">
        <f>IF(AD13=21,J13,0)</f>
        <v>0</v>
      </c>
      <c r="AD13" s="57">
        <v>21</v>
      </c>
      <c r="AE13" s="57">
        <f>G13*0.648100775193798</f>
        <v>0</v>
      </c>
      <c r="AF13" s="57">
        <f>G13*(1-0.648100775193798)</f>
        <v>0</v>
      </c>
      <c r="AG13" s="52" t="s">
        <v>7</v>
      </c>
      <c r="AM13" s="57">
        <f>F13*AE13</f>
        <v>0</v>
      </c>
      <c r="AN13" s="57">
        <f>F13*AF13</f>
        <v>0</v>
      </c>
      <c r="AO13" s="58" t="s">
        <v>415</v>
      </c>
      <c r="AP13" s="58" t="s">
        <v>427</v>
      </c>
      <c r="AQ13" s="46" t="s">
        <v>434</v>
      </c>
      <c r="AS13" s="57">
        <f>AM13+AN13</f>
        <v>0</v>
      </c>
      <c r="AT13" s="57">
        <f>G13/(100-AU13)*100</f>
        <v>0</v>
      </c>
      <c r="AU13" s="57">
        <v>0</v>
      </c>
      <c r="AV13" s="57">
        <f>L13</f>
        <v>11.4025725</v>
      </c>
    </row>
    <row r="14" spans="1:37" ht="12.75">
      <c r="A14" s="11"/>
      <c r="B14" s="24"/>
      <c r="C14" s="24" t="s">
        <v>47</v>
      </c>
      <c r="D14" s="24" t="s">
        <v>252</v>
      </c>
      <c r="E14" s="11" t="s">
        <v>6</v>
      </c>
      <c r="F14" s="11" t="s">
        <v>6</v>
      </c>
      <c r="G14" s="11" t="s">
        <v>6</v>
      </c>
      <c r="H14" s="60">
        <f>SUM(H15:H15)</f>
        <v>0</v>
      </c>
      <c r="I14" s="60">
        <f>SUM(I15:I15)</f>
        <v>0</v>
      </c>
      <c r="J14" s="60">
        <f>H14+I14</f>
        <v>0</v>
      </c>
      <c r="K14" s="46"/>
      <c r="L14" s="60">
        <f>SUM(L15:L15)</f>
        <v>0.17886</v>
      </c>
      <c r="M14" s="46"/>
      <c r="Y14" s="46"/>
      <c r="AI14" s="60">
        <f>SUM(Z15:Z15)</f>
        <v>0</v>
      </c>
      <c r="AJ14" s="60">
        <f>SUM(AA15:AA15)</f>
        <v>0</v>
      </c>
      <c r="AK14" s="60">
        <f>SUM(AB15:AB15)</f>
        <v>0</v>
      </c>
    </row>
    <row r="15" spans="1:48" ht="12.75">
      <c r="A15" s="10" t="s">
        <v>8</v>
      </c>
      <c r="B15" s="10"/>
      <c r="C15" s="10" t="s">
        <v>125</v>
      </c>
      <c r="D15" s="10" t="s">
        <v>253</v>
      </c>
      <c r="E15" s="10" t="s">
        <v>375</v>
      </c>
      <c r="F15" s="31">
        <v>6</v>
      </c>
      <c r="G15" s="31">
        <v>0</v>
      </c>
      <c r="H15" s="31">
        <f>F15*AE15</f>
        <v>0</v>
      </c>
      <c r="I15" s="31">
        <f>J15-H15</f>
        <v>0</v>
      </c>
      <c r="J15" s="31">
        <f>F15*G15</f>
        <v>0</v>
      </c>
      <c r="K15" s="31">
        <v>0.02981</v>
      </c>
      <c r="L15" s="31">
        <f>F15*K15</f>
        <v>0.17886</v>
      </c>
      <c r="M15" s="52" t="s">
        <v>405</v>
      </c>
      <c r="P15" s="57">
        <f>IF(AG15="5",J15,0)</f>
        <v>0</v>
      </c>
      <c r="R15" s="57">
        <f>IF(AG15="1",H15,0)</f>
        <v>0</v>
      </c>
      <c r="S15" s="57">
        <f>IF(AG15="1",I15,0)</f>
        <v>0</v>
      </c>
      <c r="T15" s="57">
        <f>IF(AG15="7",H15,0)</f>
        <v>0</v>
      </c>
      <c r="U15" s="57">
        <f>IF(AG15="7",I15,0)</f>
        <v>0</v>
      </c>
      <c r="V15" s="57">
        <f>IF(AG15="2",H15,0)</f>
        <v>0</v>
      </c>
      <c r="W15" s="57">
        <f>IF(AG15="2",I15,0)</f>
        <v>0</v>
      </c>
      <c r="X15" s="57">
        <f>IF(AG15="0",J15,0)</f>
        <v>0</v>
      </c>
      <c r="Y15" s="46"/>
      <c r="Z15" s="31">
        <f>IF(AD15=0,J15,0)</f>
        <v>0</v>
      </c>
      <c r="AA15" s="31">
        <f>IF(AD15=15,J15,0)</f>
        <v>0</v>
      </c>
      <c r="AB15" s="31">
        <f>IF(AD15=21,J15,0)</f>
        <v>0</v>
      </c>
      <c r="AD15" s="57">
        <v>21</v>
      </c>
      <c r="AE15" s="57">
        <f>G15*0.347169811320755</f>
        <v>0</v>
      </c>
      <c r="AF15" s="57">
        <f>G15*(1-0.347169811320755)</f>
        <v>0</v>
      </c>
      <c r="AG15" s="52" t="s">
        <v>7</v>
      </c>
      <c r="AM15" s="57">
        <f>F15*AE15</f>
        <v>0</v>
      </c>
      <c r="AN15" s="57">
        <f>F15*AF15</f>
        <v>0</v>
      </c>
      <c r="AO15" s="58" t="s">
        <v>416</v>
      </c>
      <c r="AP15" s="58" t="s">
        <v>428</v>
      </c>
      <c r="AQ15" s="46" t="s">
        <v>434</v>
      </c>
      <c r="AS15" s="57">
        <f>AM15+AN15</f>
        <v>0</v>
      </c>
      <c r="AT15" s="57">
        <f>G15/(100-AU15)*100</f>
        <v>0</v>
      </c>
      <c r="AU15" s="57">
        <v>0</v>
      </c>
      <c r="AV15" s="57">
        <f>L15</f>
        <v>0.17886</v>
      </c>
    </row>
    <row r="16" spans="1:37" ht="12.75">
      <c r="A16" s="11"/>
      <c r="B16" s="24"/>
      <c r="C16" s="24" t="s">
        <v>67</v>
      </c>
      <c r="D16" s="24" t="s">
        <v>254</v>
      </c>
      <c r="E16" s="11" t="s">
        <v>6</v>
      </c>
      <c r="F16" s="11" t="s">
        <v>6</v>
      </c>
      <c r="G16" s="11" t="s">
        <v>6</v>
      </c>
      <c r="H16" s="60">
        <f>SUM(H17:H17)</f>
        <v>0</v>
      </c>
      <c r="I16" s="60">
        <f>SUM(I17:I17)</f>
        <v>0</v>
      </c>
      <c r="J16" s="60">
        <f>H16+I16</f>
        <v>0</v>
      </c>
      <c r="K16" s="46"/>
      <c r="L16" s="60">
        <f>SUM(L17:L17)</f>
        <v>1.569051</v>
      </c>
      <c r="M16" s="46"/>
      <c r="Y16" s="46"/>
      <c r="AI16" s="60">
        <f>SUM(Z17:Z17)</f>
        <v>0</v>
      </c>
      <c r="AJ16" s="60">
        <f>SUM(AA17:AA17)</f>
        <v>0</v>
      </c>
      <c r="AK16" s="60">
        <f>SUM(AB17:AB17)</f>
        <v>0</v>
      </c>
    </row>
    <row r="17" spans="1:48" ht="12.75">
      <c r="A17" s="10" t="s">
        <v>9</v>
      </c>
      <c r="B17" s="10"/>
      <c r="C17" s="10" t="s">
        <v>126</v>
      </c>
      <c r="D17" s="10" t="s">
        <v>255</v>
      </c>
      <c r="E17" s="10" t="s">
        <v>374</v>
      </c>
      <c r="F17" s="31">
        <v>44.55</v>
      </c>
      <c r="G17" s="31">
        <v>0</v>
      </c>
      <c r="H17" s="31">
        <f>F17*AE17</f>
        <v>0</v>
      </c>
      <c r="I17" s="31">
        <f>J17-H17</f>
        <v>0</v>
      </c>
      <c r="J17" s="31">
        <f>F17*G17</f>
        <v>0</v>
      </c>
      <c r="K17" s="31">
        <v>0.03522</v>
      </c>
      <c r="L17" s="31">
        <f>F17*K17</f>
        <v>1.569051</v>
      </c>
      <c r="M17" s="52" t="s">
        <v>405</v>
      </c>
      <c r="P17" s="57">
        <f>IF(AG17="5",J17,0)</f>
        <v>0</v>
      </c>
      <c r="R17" s="57">
        <f>IF(AG17="1",H17,0)</f>
        <v>0</v>
      </c>
      <c r="S17" s="57">
        <f>IF(AG17="1",I17,0)</f>
        <v>0</v>
      </c>
      <c r="T17" s="57">
        <f>IF(AG17="7",H17,0)</f>
        <v>0</v>
      </c>
      <c r="U17" s="57">
        <f>IF(AG17="7",I17,0)</f>
        <v>0</v>
      </c>
      <c r="V17" s="57">
        <f>IF(AG17="2",H17,0)</f>
        <v>0</v>
      </c>
      <c r="W17" s="57">
        <f>IF(AG17="2",I17,0)</f>
        <v>0</v>
      </c>
      <c r="X17" s="57">
        <f>IF(AG17="0",J17,0)</f>
        <v>0</v>
      </c>
      <c r="Y17" s="46"/>
      <c r="Z17" s="31">
        <f>IF(AD17=0,J17,0)</f>
        <v>0</v>
      </c>
      <c r="AA17" s="31">
        <f>IF(AD17=15,J17,0)</f>
        <v>0</v>
      </c>
      <c r="AB17" s="31">
        <f>IF(AD17=21,J17,0)</f>
        <v>0</v>
      </c>
      <c r="AD17" s="57">
        <v>21</v>
      </c>
      <c r="AE17" s="57">
        <f>G17*0.194270676691729</f>
        <v>0</v>
      </c>
      <c r="AF17" s="57">
        <f>G17*(1-0.194270676691729)</f>
        <v>0</v>
      </c>
      <c r="AG17" s="52" t="s">
        <v>7</v>
      </c>
      <c r="AM17" s="57">
        <f>F17*AE17</f>
        <v>0</v>
      </c>
      <c r="AN17" s="57">
        <f>F17*AF17</f>
        <v>0</v>
      </c>
      <c r="AO17" s="58" t="s">
        <v>417</v>
      </c>
      <c r="AP17" s="58" t="s">
        <v>429</v>
      </c>
      <c r="AQ17" s="46" t="s">
        <v>434</v>
      </c>
      <c r="AS17" s="57">
        <f>AM17+AN17</f>
        <v>0</v>
      </c>
      <c r="AT17" s="57">
        <f>G17/(100-AU17)*100</f>
        <v>0</v>
      </c>
      <c r="AU17" s="57">
        <v>0</v>
      </c>
      <c r="AV17" s="57">
        <f>L17</f>
        <v>1.569051</v>
      </c>
    </row>
    <row r="18" spans="1:37" ht="12.75">
      <c r="A18" s="11"/>
      <c r="B18" s="24"/>
      <c r="C18" s="24" t="s">
        <v>127</v>
      </c>
      <c r="D18" s="24" t="s">
        <v>256</v>
      </c>
      <c r="E18" s="11" t="s">
        <v>6</v>
      </c>
      <c r="F18" s="11" t="s">
        <v>6</v>
      </c>
      <c r="G18" s="11" t="s">
        <v>6</v>
      </c>
      <c r="H18" s="60">
        <f>SUM(H19:H44)</f>
        <v>0</v>
      </c>
      <c r="I18" s="60">
        <f>SUM(I19:I44)</f>
        <v>0</v>
      </c>
      <c r="J18" s="60">
        <f>H18+I18</f>
        <v>0</v>
      </c>
      <c r="K18" s="46"/>
      <c r="L18" s="60">
        <f>SUM(L19:L44)</f>
        <v>4.57661</v>
      </c>
      <c r="M18" s="46"/>
      <c r="Y18" s="46"/>
      <c r="AI18" s="60">
        <f>SUM(Z19:Z44)</f>
        <v>0</v>
      </c>
      <c r="AJ18" s="60">
        <f>SUM(AA19:AA44)</f>
        <v>0</v>
      </c>
      <c r="AK18" s="60">
        <f>SUM(AB19:AB44)</f>
        <v>0</v>
      </c>
    </row>
    <row r="19" spans="1:48" ht="12.75">
      <c r="A19" s="10" t="s">
        <v>10</v>
      </c>
      <c r="B19" s="10"/>
      <c r="C19" s="10" t="s">
        <v>128</v>
      </c>
      <c r="D19" s="10" t="s">
        <v>257</v>
      </c>
      <c r="E19" s="10" t="s">
        <v>375</v>
      </c>
      <c r="F19" s="31">
        <v>5</v>
      </c>
      <c r="G19" s="31">
        <v>0</v>
      </c>
      <c r="H19" s="31">
        <f>F19*AE19</f>
        <v>0</v>
      </c>
      <c r="I19" s="31">
        <f>J19-H19</f>
        <v>0</v>
      </c>
      <c r="J19" s="31">
        <f>F19*G19</f>
        <v>0</v>
      </c>
      <c r="K19" s="31">
        <v>0.00663</v>
      </c>
      <c r="L19" s="31">
        <f>F19*K19</f>
        <v>0.03315</v>
      </c>
      <c r="M19" s="52" t="s">
        <v>405</v>
      </c>
      <c r="P19" s="57">
        <f>IF(AG19="5",J19,0)</f>
        <v>0</v>
      </c>
      <c r="R19" s="57">
        <f>IF(AG19="1",H19,0)</f>
        <v>0</v>
      </c>
      <c r="S19" s="57">
        <f>IF(AG19="1",I19,0)</f>
        <v>0</v>
      </c>
      <c r="T19" s="57">
        <f>IF(AG19="7",H19,0)</f>
        <v>0</v>
      </c>
      <c r="U19" s="57">
        <f>IF(AG19="7",I19,0)</f>
        <v>0</v>
      </c>
      <c r="V19" s="57">
        <f>IF(AG19="2",H19,0)</f>
        <v>0</v>
      </c>
      <c r="W19" s="57">
        <f>IF(AG19="2",I19,0)</f>
        <v>0</v>
      </c>
      <c r="X19" s="57">
        <f>IF(AG19="0",J19,0)</f>
        <v>0</v>
      </c>
      <c r="Y19" s="46"/>
      <c r="Z19" s="31">
        <f>IF(AD19=0,J19,0)</f>
        <v>0</v>
      </c>
      <c r="AA19" s="31">
        <f>IF(AD19=15,J19,0)</f>
        <v>0</v>
      </c>
      <c r="AB19" s="31">
        <f>IF(AD19=21,J19,0)</f>
        <v>0</v>
      </c>
      <c r="AD19" s="57">
        <v>21</v>
      </c>
      <c r="AE19" s="57">
        <f>G19*0.246700336700337</f>
        <v>0</v>
      </c>
      <c r="AF19" s="57">
        <f>G19*(1-0.246700336700337)</f>
        <v>0</v>
      </c>
      <c r="AG19" s="52" t="s">
        <v>13</v>
      </c>
      <c r="AM19" s="57">
        <f>F19*AE19</f>
        <v>0</v>
      </c>
      <c r="AN19" s="57">
        <f>F19*AF19</f>
        <v>0</v>
      </c>
      <c r="AO19" s="58" t="s">
        <v>418</v>
      </c>
      <c r="AP19" s="58" t="s">
        <v>430</v>
      </c>
      <c r="AQ19" s="46" t="s">
        <v>434</v>
      </c>
      <c r="AS19" s="57">
        <f>AM19+AN19</f>
        <v>0</v>
      </c>
      <c r="AT19" s="57">
        <f>G19/(100-AU19)*100</f>
        <v>0</v>
      </c>
      <c r="AU19" s="57">
        <v>0</v>
      </c>
      <c r="AV19" s="57">
        <f>L19</f>
        <v>0.03315</v>
      </c>
    </row>
    <row r="20" spans="1:48" ht="12.75">
      <c r="A20" s="10" t="s">
        <v>11</v>
      </c>
      <c r="B20" s="10"/>
      <c r="C20" s="10" t="s">
        <v>129</v>
      </c>
      <c r="D20" s="10" t="s">
        <v>258</v>
      </c>
      <c r="E20" s="10" t="s">
        <v>375</v>
      </c>
      <c r="F20" s="31">
        <v>4</v>
      </c>
      <c r="G20" s="31">
        <v>0</v>
      </c>
      <c r="H20" s="31">
        <f>F20*AE20</f>
        <v>0</v>
      </c>
      <c r="I20" s="31">
        <f>J20-H20</f>
        <v>0</v>
      </c>
      <c r="J20" s="31">
        <f>F20*G20</f>
        <v>0</v>
      </c>
      <c r="K20" s="31">
        <v>0.00675</v>
      </c>
      <c r="L20" s="31">
        <f>F20*K20</f>
        <v>0.027</v>
      </c>
      <c r="M20" s="52" t="s">
        <v>405</v>
      </c>
      <c r="P20" s="57">
        <f>IF(AG20="5",J20,0)</f>
        <v>0</v>
      </c>
      <c r="R20" s="57">
        <f>IF(AG20="1",H20,0)</f>
        <v>0</v>
      </c>
      <c r="S20" s="57">
        <f>IF(AG20="1",I20,0)</f>
        <v>0</v>
      </c>
      <c r="T20" s="57">
        <f>IF(AG20="7",H20,0)</f>
        <v>0</v>
      </c>
      <c r="U20" s="57">
        <f>IF(AG20="7",I20,0)</f>
        <v>0</v>
      </c>
      <c r="V20" s="57">
        <f>IF(AG20="2",H20,0)</f>
        <v>0</v>
      </c>
      <c r="W20" s="57">
        <f>IF(AG20="2",I20,0)</f>
        <v>0</v>
      </c>
      <c r="X20" s="57">
        <f>IF(AG20="0",J20,0)</f>
        <v>0</v>
      </c>
      <c r="Y20" s="46"/>
      <c r="Z20" s="31">
        <f>IF(AD20=0,J20,0)</f>
        <v>0</v>
      </c>
      <c r="AA20" s="31">
        <f>IF(AD20=15,J20,0)</f>
        <v>0</v>
      </c>
      <c r="AB20" s="31">
        <f>IF(AD20=21,J20,0)</f>
        <v>0</v>
      </c>
      <c r="AD20" s="57">
        <v>21</v>
      </c>
      <c r="AE20" s="57">
        <f>G20*0.237244201909959</f>
        <v>0</v>
      </c>
      <c r="AF20" s="57">
        <f>G20*(1-0.237244201909959)</f>
        <v>0</v>
      </c>
      <c r="AG20" s="52" t="s">
        <v>13</v>
      </c>
      <c r="AM20" s="57">
        <f>F20*AE20</f>
        <v>0</v>
      </c>
      <c r="AN20" s="57">
        <f>F20*AF20</f>
        <v>0</v>
      </c>
      <c r="AO20" s="58" t="s">
        <v>418</v>
      </c>
      <c r="AP20" s="58" t="s">
        <v>430</v>
      </c>
      <c r="AQ20" s="46" t="s">
        <v>434</v>
      </c>
      <c r="AS20" s="57">
        <f>AM20+AN20</f>
        <v>0</v>
      </c>
      <c r="AT20" s="57">
        <f>G20/(100-AU20)*100</f>
        <v>0</v>
      </c>
      <c r="AU20" s="57">
        <v>0</v>
      </c>
      <c r="AV20" s="57">
        <f>L20</f>
        <v>0.027</v>
      </c>
    </row>
    <row r="21" spans="1:48" ht="12.75">
      <c r="A21" s="10" t="s">
        <v>12</v>
      </c>
      <c r="B21" s="10"/>
      <c r="C21" s="10" t="s">
        <v>130</v>
      </c>
      <c r="D21" s="10" t="s">
        <v>259</v>
      </c>
      <c r="E21" s="10" t="s">
        <v>375</v>
      </c>
      <c r="F21" s="31">
        <v>8</v>
      </c>
      <c r="G21" s="31">
        <v>0</v>
      </c>
      <c r="H21" s="31">
        <f>F21*AE21</f>
        <v>0</v>
      </c>
      <c r="I21" s="31">
        <f>J21-H21</f>
        <v>0</v>
      </c>
      <c r="J21" s="31">
        <f>F21*G21</f>
        <v>0</v>
      </c>
      <c r="K21" s="31">
        <v>0.0078</v>
      </c>
      <c r="L21" s="31">
        <f>F21*K21</f>
        <v>0.0624</v>
      </c>
      <c r="M21" s="52" t="s">
        <v>405</v>
      </c>
      <c r="P21" s="57">
        <f>IF(AG21="5",J21,0)</f>
        <v>0</v>
      </c>
      <c r="R21" s="57">
        <f>IF(AG21="1",H21,0)</f>
        <v>0</v>
      </c>
      <c r="S21" s="57">
        <f>IF(AG21="1",I21,0)</f>
        <v>0</v>
      </c>
      <c r="T21" s="57">
        <f>IF(AG21="7",H21,0)</f>
        <v>0</v>
      </c>
      <c r="U21" s="57">
        <f>IF(AG21="7",I21,0)</f>
        <v>0</v>
      </c>
      <c r="V21" s="57">
        <f>IF(AG21="2",H21,0)</f>
        <v>0</v>
      </c>
      <c r="W21" s="57">
        <f>IF(AG21="2",I21,0)</f>
        <v>0</v>
      </c>
      <c r="X21" s="57">
        <f>IF(AG21="0",J21,0)</f>
        <v>0</v>
      </c>
      <c r="Y21" s="46"/>
      <c r="Z21" s="31">
        <f>IF(AD21=0,J21,0)</f>
        <v>0</v>
      </c>
      <c r="AA21" s="31">
        <f>IF(AD21=15,J21,0)</f>
        <v>0</v>
      </c>
      <c r="AB21" s="31">
        <f>IF(AD21=21,J21,0)</f>
        <v>0</v>
      </c>
      <c r="AD21" s="57">
        <v>21</v>
      </c>
      <c r="AE21" s="57">
        <f>G21*0.323329558323896</f>
        <v>0</v>
      </c>
      <c r="AF21" s="57">
        <f>G21*(1-0.323329558323896)</f>
        <v>0</v>
      </c>
      <c r="AG21" s="52" t="s">
        <v>13</v>
      </c>
      <c r="AM21" s="57">
        <f>F21*AE21</f>
        <v>0</v>
      </c>
      <c r="AN21" s="57">
        <f>F21*AF21</f>
        <v>0</v>
      </c>
      <c r="AO21" s="58" t="s">
        <v>418</v>
      </c>
      <c r="AP21" s="58" t="s">
        <v>430</v>
      </c>
      <c r="AQ21" s="46" t="s">
        <v>434</v>
      </c>
      <c r="AS21" s="57">
        <f>AM21+AN21</f>
        <v>0</v>
      </c>
      <c r="AT21" s="57">
        <f>G21/(100-AU21)*100</f>
        <v>0</v>
      </c>
      <c r="AU21" s="57">
        <v>0</v>
      </c>
      <c r="AV21" s="57">
        <f>L21</f>
        <v>0.0624</v>
      </c>
    </row>
    <row r="22" spans="1:48" ht="12.75">
      <c r="A22" s="10" t="s">
        <v>13</v>
      </c>
      <c r="B22" s="10"/>
      <c r="C22" s="10" t="s">
        <v>131</v>
      </c>
      <c r="D22" s="10" t="s">
        <v>260</v>
      </c>
      <c r="E22" s="10" t="s">
        <v>376</v>
      </c>
      <c r="F22" s="31">
        <v>20</v>
      </c>
      <c r="G22" s="31">
        <v>0</v>
      </c>
      <c r="H22" s="31">
        <f>F22*AE22</f>
        <v>0</v>
      </c>
      <c r="I22" s="31">
        <f>J22-H22</f>
        <v>0</v>
      </c>
      <c r="J22" s="31">
        <f>F22*G22</f>
        <v>0</v>
      </c>
      <c r="K22" s="31">
        <v>0.00198</v>
      </c>
      <c r="L22" s="31">
        <f>F22*K22</f>
        <v>0.039599999999999996</v>
      </c>
      <c r="M22" s="52" t="s">
        <v>405</v>
      </c>
      <c r="P22" s="57">
        <f>IF(AG22="5",J22,0)</f>
        <v>0</v>
      </c>
      <c r="R22" s="57">
        <f>IF(AG22="1",H22,0)</f>
        <v>0</v>
      </c>
      <c r="S22" s="57">
        <f>IF(AG22="1",I22,0)</f>
        <v>0</v>
      </c>
      <c r="T22" s="57">
        <f>IF(AG22="7",H22,0)</f>
        <v>0</v>
      </c>
      <c r="U22" s="57">
        <f>IF(AG22="7",I22,0)</f>
        <v>0</v>
      </c>
      <c r="V22" s="57">
        <f>IF(AG22="2",H22,0)</f>
        <v>0</v>
      </c>
      <c r="W22" s="57">
        <f>IF(AG22="2",I22,0)</f>
        <v>0</v>
      </c>
      <c r="X22" s="57">
        <f>IF(AG22="0",J22,0)</f>
        <v>0</v>
      </c>
      <c r="Y22" s="46"/>
      <c r="Z22" s="31">
        <f>IF(AD22=0,J22,0)</f>
        <v>0</v>
      </c>
      <c r="AA22" s="31">
        <f>IF(AD22=15,J22,0)</f>
        <v>0</v>
      </c>
      <c r="AB22" s="31">
        <f>IF(AD22=21,J22,0)</f>
        <v>0</v>
      </c>
      <c r="AD22" s="57">
        <v>21</v>
      </c>
      <c r="AE22" s="57">
        <f>G22*0</f>
        <v>0</v>
      </c>
      <c r="AF22" s="57">
        <f>G22*(1-0)</f>
        <v>0</v>
      </c>
      <c r="AG22" s="52" t="s">
        <v>13</v>
      </c>
      <c r="AM22" s="57">
        <f>F22*AE22</f>
        <v>0</v>
      </c>
      <c r="AN22" s="57">
        <f>F22*AF22</f>
        <v>0</v>
      </c>
      <c r="AO22" s="58" t="s">
        <v>418</v>
      </c>
      <c r="AP22" s="58" t="s">
        <v>430</v>
      </c>
      <c r="AQ22" s="46" t="s">
        <v>434</v>
      </c>
      <c r="AS22" s="57">
        <f>AM22+AN22</f>
        <v>0</v>
      </c>
      <c r="AT22" s="57">
        <f>G22/(100-AU22)*100</f>
        <v>0</v>
      </c>
      <c r="AU22" s="57">
        <v>0</v>
      </c>
      <c r="AV22" s="57">
        <f>L22</f>
        <v>0.039599999999999996</v>
      </c>
    </row>
    <row r="23" spans="1:48" ht="12.75">
      <c r="A23" s="10" t="s">
        <v>14</v>
      </c>
      <c r="B23" s="10"/>
      <c r="C23" s="10" t="s">
        <v>132</v>
      </c>
      <c r="D23" s="10" t="s">
        <v>261</v>
      </c>
      <c r="E23" s="10" t="s">
        <v>376</v>
      </c>
      <c r="F23" s="31">
        <v>25</v>
      </c>
      <c r="G23" s="31">
        <v>0</v>
      </c>
      <c r="H23" s="31">
        <f>F23*AE23</f>
        <v>0</v>
      </c>
      <c r="I23" s="31">
        <f>J23-H23</f>
        <v>0</v>
      </c>
      <c r="J23" s="31">
        <f>F23*G23</f>
        <v>0</v>
      </c>
      <c r="K23" s="31">
        <v>0.00038</v>
      </c>
      <c r="L23" s="31">
        <f>F23*K23</f>
        <v>0.0095</v>
      </c>
      <c r="M23" s="52" t="s">
        <v>405</v>
      </c>
      <c r="P23" s="57">
        <f>IF(AG23="5",J23,0)</f>
        <v>0</v>
      </c>
      <c r="R23" s="57">
        <f>IF(AG23="1",H23,0)</f>
        <v>0</v>
      </c>
      <c r="S23" s="57">
        <f>IF(AG23="1",I23,0)</f>
        <v>0</v>
      </c>
      <c r="T23" s="57">
        <f>IF(AG23="7",H23,0)</f>
        <v>0</v>
      </c>
      <c r="U23" s="57">
        <f>IF(AG23="7",I23,0)</f>
        <v>0</v>
      </c>
      <c r="V23" s="57">
        <f>IF(AG23="2",H23,0)</f>
        <v>0</v>
      </c>
      <c r="W23" s="57">
        <f>IF(AG23="2",I23,0)</f>
        <v>0</v>
      </c>
      <c r="X23" s="57">
        <f>IF(AG23="0",J23,0)</f>
        <v>0</v>
      </c>
      <c r="Y23" s="46"/>
      <c r="Z23" s="31">
        <f>IF(AD23=0,J23,0)</f>
        <v>0</v>
      </c>
      <c r="AA23" s="31">
        <f>IF(AD23=15,J23,0)</f>
        <v>0</v>
      </c>
      <c r="AB23" s="31">
        <f>IF(AD23=21,J23,0)</f>
        <v>0</v>
      </c>
      <c r="AD23" s="57">
        <v>21</v>
      </c>
      <c r="AE23" s="57">
        <f>G23*0.335438596491228</f>
        <v>0</v>
      </c>
      <c r="AF23" s="57">
        <f>G23*(1-0.335438596491228)</f>
        <v>0</v>
      </c>
      <c r="AG23" s="52" t="s">
        <v>13</v>
      </c>
      <c r="AM23" s="57">
        <f>F23*AE23</f>
        <v>0</v>
      </c>
      <c r="AN23" s="57">
        <f>F23*AF23</f>
        <v>0</v>
      </c>
      <c r="AO23" s="58" t="s">
        <v>418</v>
      </c>
      <c r="AP23" s="58" t="s">
        <v>430</v>
      </c>
      <c r="AQ23" s="46" t="s">
        <v>434</v>
      </c>
      <c r="AS23" s="57">
        <f>AM23+AN23</f>
        <v>0</v>
      </c>
      <c r="AT23" s="57">
        <f>G23/(100-AU23)*100</f>
        <v>0</v>
      </c>
      <c r="AU23" s="57">
        <v>0</v>
      </c>
      <c r="AV23" s="57">
        <f>L23</f>
        <v>0.0095</v>
      </c>
    </row>
    <row r="24" spans="1:48" ht="12.75">
      <c r="A24" s="10" t="s">
        <v>15</v>
      </c>
      <c r="B24" s="10"/>
      <c r="C24" s="10" t="s">
        <v>133</v>
      </c>
      <c r="D24" s="10" t="s">
        <v>262</v>
      </c>
      <c r="E24" s="10" t="s">
        <v>376</v>
      </c>
      <c r="F24" s="31">
        <v>10</v>
      </c>
      <c r="G24" s="31">
        <v>0</v>
      </c>
      <c r="H24" s="31">
        <f>F24*AE24</f>
        <v>0</v>
      </c>
      <c r="I24" s="31">
        <f>J24-H24</f>
        <v>0</v>
      </c>
      <c r="J24" s="31">
        <f>F24*G24</f>
        <v>0</v>
      </c>
      <c r="K24" s="31">
        <v>0.00047</v>
      </c>
      <c r="L24" s="31">
        <f>F24*K24</f>
        <v>0.0047</v>
      </c>
      <c r="M24" s="52" t="s">
        <v>405</v>
      </c>
      <c r="P24" s="57">
        <f>IF(AG24="5",J24,0)</f>
        <v>0</v>
      </c>
      <c r="R24" s="57">
        <f>IF(AG24="1",H24,0)</f>
        <v>0</v>
      </c>
      <c r="S24" s="57">
        <f>IF(AG24="1",I24,0)</f>
        <v>0</v>
      </c>
      <c r="T24" s="57">
        <f>IF(AG24="7",H24,0)</f>
        <v>0</v>
      </c>
      <c r="U24" s="57">
        <f>IF(AG24="7",I24,0)</f>
        <v>0</v>
      </c>
      <c r="V24" s="57">
        <f>IF(AG24="2",H24,0)</f>
        <v>0</v>
      </c>
      <c r="W24" s="57">
        <f>IF(AG24="2",I24,0)</f>
        <v>0</v>
      </c>
      <c r="X24" s="57">
        <f>IF(AG24="0",J24,0)</f>
        <v>0</v>
      </c>
      <c r="Y24" s="46"/>
      <c r="Z24" s="31">
        <f>IF(AD24=0,J24,0)</f>
        <v>0</v>
      </c>
      <c r="AA24" s="31">
        <f>IF(AD24=15,J24,0)</f>
        <v>0</v>
      </c>
      <c r="AB24" s="31">
        <f>IF(AD24=21,J24,0)</f>
        <v>0</v>
      </c>
      <c r="AD24" s="57">
        <v>21</v>
      </c>
      <c r="AE24" s="57">
        <f>G24*0.319267734553776</f>
        <v>0</v>
      </c>
      <c r="AF24" s="57">
        <f>G24*(1-0.319267734553776)</f>
        <v>0</v>
      </c>
      <c r="AG24" s="52" t="s">
        <v>13</v>
      </c>
      <c r="AM24" s="57">
        <f>F24*AE24</f>
        <v>0</v>
      </c>
      <c r="AN24" s="57">
        <f>F24*AF24</f>
        <v>0</v>
      </c>
      <c r="AO24" s="58" t="s">
        <v>418</v>
      </c>
      <c r="AP24" s="58" t="s">
        <v>430</v>
      </c>
      <c r="AQ24" s="46" t="s">
        <v>434</v>
      </c>
      <c r="AS24" s="57">
        <f>AM24+AN24</f>
        <v>0</v>
      </c>
      <c r="AT24" s="57">
        <f>G24/(100-AU24)*100</f>
        <v>0</v>
      </c>
      <c r="AU24" s="57">
        <v>0</v>
      </c>
      <c r="AV24" s="57">
        <f>L24</f>
        <v>0.0047</v>
      </c>
    </row>
    <row r="25" spans="1:48" ht="12.75">
      <c r="A25" s="10" t="s">
        <v>16</v>
      </c>
      <c r="B25" s="10"/>
      <c r="C25" s="10" t="s">
        <v>134</v>
      </c>
      <c r="D25" s="10" t="s">
        <v>263</v>
      </c>
      <c r="E25" s="10" t="s">
        <v>376</v>
      </c>
      <c r="F25" s="31">
        <v>25</v>
      </c>
      <c r="G25" s="31">
        <v>0</v>
      </c>
      <c r="H25" s="31">
        <f>F25*AE25</f>
        <v>0</v>
      </c>
      <c r="I25" s="31">
        <f>J25-H25</f>
        <v>0</v>
      </c>
      <c r="J25" s="31">
        <f>F25*G25</f>
        <v>0</v>
      </c>
      <c r="K25" s="31">
        <v>0.00152</v>
      </c>
      <c r="L25" s="31">
        <f>F25*K25</f>
        <v>0.038</v>
      </c>
      <c r="M25" s="52" t="s">
        <v>405</v>
      </c>
      <c r="P25" s="57">
        <f>IF(AG25="5",J25,0)</f>
        <v>0</v>
      </c>
      <c r="R25" s="57">
        <f>IF(AG25="1",H25,0)</f>
        <v>0</v>
      </c>
      <c r="S25" s="57">
        <f>IF(AG25="1",I25,0)</f>
        <v>0</v>
      </c>
      <c r="T25" s="57">
        <f>IF(AG25="7",H25,0)</f>
        <v>0</v>
      </c>
      <c r="U25" s="57">
        <f>IF(AG25="7",I25,0)</f>
        <v>0</v>
      </c>
      <c r="V25" s="57">
        <f>IF(AG25="2",H25,0)</f>
        <v>0</v>
      </c>
      <c r="W25" s="57">
        <f>IF(AG25="2",I25,0)</f>
        <v>0</v>
      </c>
      <c r="X25" s="57">
        <f>IF(AG25="0",J25,0)</f>
        <v>0</v>
      </c>
      <c r="Y25" s="46"/>
      <c r="Z25" s="31">
        <f>IF(AD25=0,J25,0)</f>
        <v>0</v>
      </c>
      <c r="AA25" s="31">
        <f>IF(AD25=15,J25,0)</f>
        <v>0</v>
      </c>
      <c r="AB25" s="31">
        <f>IF(AD25=21,J25,0)</f>
        <v>0</v>
      </c>
      <c r="AD25" s="57">
        <v>21</v>
      </c>
      <c r="AE25" s="57">
        <f>G25*0.304721030042918</f>
        <v>0</v>
      </c>
      <c r="AF25" s="57">
        <f>G25*(1-0.304721030042918)</f>
        <v>0</v>
      </c>
      <c r="AG25" s="52" t="s">
        <v>13</v>
      </c>
      <c r="AM25" s="57">
        <f>F25*AE25</f>
        <v>0</v>
      </c>
      <c r="AN25" s="57">
        <f>F25*AF25</f>
        <v>0</v>
      </c>
      <c r="AO25" s="58" t="s">
        <v>418</v>
      </c>
      <c r="AP25" s="58" t="s">
        <v>430</v>
      </c>
      <c r="AQ25" s="46" t="s">
        <v>434</v>
      </c>
      <c r="AS25" s="57">
        <f>AM25+AN25</f>
        <v>0</v>
      </c>
      <c r="AT25" s="57">
        <f>G25/(100-AU25)*100</f>
        <v>0</v>
      </c>
      <c r="AU25" s="57">
        <v>0</v>
      </c>
      <c r="AV25" s="57">
        <f>L25</f>
        <v>0.038</v>
      </c>
    </row>
    <row r="26" spans="1:48" ht="12.75">
      <c r="A26" s="10" t="s">
        <v>17</v>
      </c>
      <c r="B26" s="10"/>
      <c r="C26" s="10" t="s">
        <v>135</v>
      </c>
      <c r="D26" s="10" t="s">
        <v>264</v>
      </c>
      <c r="E26" s="10" t="s">
        <v>376</v>
      </c>
      <c r="F26" s="31">
        <v>25</v>
      </c>
      <c r="G26" s="31">
        <v>0</v>
      </c>
      <c r="H26" s="31">
        <f>F26*AE26</f>
        <v>0</v>
      </c>
      <c r="I26" s="31">
        <f>J26-H26</f>
        <v>0</v>
      </c>
      <c r="J26" s="31">
        <f>F26*G26</f>
        <v>0</v>
      </c>
      <c r="K26" s="31">
        <v>0.0007</v>
      </c>
      <c r="L26" s="31">
        <f>F26*K26</f>
        <v>0.017499999999999998</v>
      </c>
      <c r="M26" s="52" t="s">
        <v>405</v>
      </c>
      <c r="P26" s="57">
        <f>IF(AG26="5",J26,0)</f>
        <v>0</v>
      </c>
      <c r="R26" s="57">
        <f>IF(AG26="1",H26,0)</f>
        <v>0</v>
      </c>
      <c r="S26" s="57">
        <f>IF(AG26="1",I26,0)</f>
        <v>0</v>
      </c>
      <c r="T26" s="57">
        <f>IF(AG26="7",H26,0)</f>
        <v>0</v>
      </c>
      <c r="U26" s="57">
        <f>IF(AG26="7",I26,0)</f>
        <v>0</v>
      </c>
      <c r="V26" s="57">
        <f>IF(AG26="2",H26,0)</f>
        <v>0</v>
      </c>
      <c r="W26" s="57">
        <f>IF(AG26="2",I26,0)</f>
        <v>0</v>
      </c>
      <c r="X26" s="57">
        <f>IF(AG26="0",J26,0)</f>
        <v>0</v>
      </c>
      <c r="Y26" s="46"/>
      <c r="Z26" s="31">
        <f>IF(AD26=0,J26,0)</f>
        <v>0</v>
      </c>
      <c r="AA26" s="31">
        <f>IF(AD26=15,J26,0)</f>
        <v>0</v>
      </c>
      <c r="AB26" s="31">
        <f>IF(AD26=21,J26,0)</f>
        <v>0</v>
      </c>
      <c r="AD26" s="57">
        <v>21</v>
      </c>
      <c r="AE26" s="57">
        <f>G26*0.341757469244288</f>
        <v>0</v>
      </c>
      <c r="AF26" s="57">
        <f>G26*(1-0.341757469244288)</f>
        <v>0</v>
      </c>
      <c r="AG26" s="52" t="s">
        <v>13</v>
      </c>
      <c r="AM26" s="57">
        <f>F26*AE26</f>
        <v>0</v>
      </c>
      <c r="AN26" s="57">
        <f>F26*AF26</f>
        <v>0</v>
      </c>
      <c r="AO26" s="58" t="s">
        <v>418</v>
      </c>
      <c r="AP26" s="58" t="s">
        <v>430</v>
      </c>
      <c r="AQ26" s="46" t="s">
        <v>434</v>
      </c>
      <c r="AS26" s="57">
        <f>AM26+AN26</f>
        <v>0</v>
      </c>
      <c r="AT26" s="57">
        <f>G26/(100-AU26)*100</f>
        <v>0</v>
      </c>
      <c r="AU26" s="57">
        <v>0</v>
      </c>
      <c r="AV26" s="57">
        <f>L26</f>
        <v>0.017499999999999998</v>
      </c>
    </row>
    <row r="27" spans="1:48" ht="12.75">
      <c r="A27" s="10" t="s">
        <v>18</v>
      </c>
      <c r="B27" s="10"/>
      <c r="C27" s="10" t="s">
        <v>136</v>
      </c>
      <c r="D27" s="10" t="s">
        <v>265</v>
      </c>
      <c r="E27" s="10" t="s">
        <v>376</v>
      </c>
      <c r="F27" s="31">
        <v>18</v>
      </c>
      <c r="G27" s="31">
        <v>0</v>
      </c>
      <c r="H27" s="31">
        <f>F27*AE27</f>
        <v>0</v>
      </c>
      <c r="I27" s="31">
        <f>J27-H27</f>
        <v>0</v>
      </c>
      <c r="J27" s="31">
        <f>F27*G27</f>
        <v>0</v>
      </c>
      <c r="K27" s="31">
        <v>0.00078</v>
      </c>
      <c r="L27" s="31">
        <f>F27*K27</f>
        <v>0.01404</v>
      </c>
      <c r="M27" s="52" t="s">
        <v>405</v>
      </c>
      <c r="P27" s="57">
        <f>IF(AG27="5",J27,0)</f>
        <v>0</v>
      </c>
      <c r="R27" s="57">
        <f>IF(AG27="1",H27,0)</f>
        <v>0</v>
      </c>
      <c r="S27" s="57">
        <f>IF(AG27="1",I27,0)</f>
        <v>0</v>
      </c>
      <c r="T27" s="57">
        <f>IF(AG27="7",H27,0)</f>
        <v>0</v>
      </c>
      <c r="U27" s="57">
        <f>IF(AG27="7",I27,0)</f>
        <v>0</v>
      </c>
      <c r="V27" s="57">
        <f>IF(AG27="2",H27,0)</f>
        <v>0</v>
      </c>
      <c r="W27" s="57">
        <f>IF(AG27="2",I27,0)</f>
        <v>0</v>
      </c>
      <c r="X27" s="57">
        <f>IF(AG27="0",J27,0)</f>
        <v>0</v>
      </c>
      <c r="Y27" s="46"/>
      <c r="Z27" s="31">
        <f>IF(AD27=0,J27,0)</f>
        <v>0</v>
      </c>
      <c r="AA27" s="31">
        <f>IF(AD27=15,J27,0)</f>
        <v>0</v>
      </c>
      <c r="AB27" s="31">
        <f>IF(AD27=21,J27,0)</f>
        <v>0</v>
      </c>
      <c r="AD27" s="57">
        <v>21</v>
      </c>
      <c r="AE27" s="57">
        <f>G27*0.344416719859185</f>
        <v>0</v>
      </c>
      <c r="AF27" s="57">
        <f>G27*(1-0.344416719859185)</f>
        <v>0</v>
      </c>
      <c r="AG27" s="52" t="s">
        <v>13</v>
      </c>
      <c r="AM27" s="57">
        <f>F27*AE27</f>
        <v>0</v>
      </c>
      <c r="AN27" s="57">
        <f>F27*AF27</f>
        <v>0</v>
      </c>
      <c r="AO27" s="58" t="s">
        <v>418</v>
      </c>
      <c r="AP27" s="58" t="s">
        <v>430</v>
      </c>
      <c r="AQ27" s="46" t="s">
        <v>434</v>
      </c>
      <c r="AS27" s="57">
        <f>AM27+AN27</f>
        <v>0</v>
      </c>
      <c r="AT27" s="57">
        <f>G27/(100-AU27)*100</f>
        <v>0</v>
      </c>
      <c r="AU27" s="57">
        <v>0</v>
      </c>
      <c r="AV27" s="57">
        <f>L27</f>
        <v>0.01404</v>
      </c>
    </row>
    <row r="28" spans="1:48" ht="12.75">
      <c r="A28" s="10" t="s">
        <v>19</v>
      </c>
      <c r="B28" s="10"/>
      <c r="C28" s="10" t="s">
        <v>137</v>
      </c>
      <c r="D28" s="10" t="s">
        <v>266</v>
      </c>
      <c r="E28" s="10" t="s">
        <v>376</v>
      </c>
      <c r="F28" s="31">
        <v>30</v>
      </c>
      <c r="G28" s="31">
        <v>0</v>
      </c>
      <c r="H28" s="31">
        <f>F28*AE28</f>
        <v>0</v>
      </c>
      <c r="I28" s="31">
        <f>J28-H28</f>
        <v>0</v>
      </c>
      <c r="J28" s="31">
        <f>F28*G28</f>
        <v>0</v>
      </c>
      <c r="K28" s="31">
        <v>0.00131</v>
      </c>
      <c r="L28" s="31">
        <f>F28*K28</f>
        <v>0.0393</v>
      </c>
      <c r="M28" s="52" t="s">
        <v>405</v>
      </c>
      <c r="P28" s="57">
        <f>IF(AG28="5",J28,0)</f>
        <v>0</v>
      </c>
      <c r="R28" s="57">
        <f>IF(AG28="1",H28,0)</f>
        <v>0</v>
      </c>
      <c r="S28" s="57">
        <f>IF(AG28="1",I28,0)</f>
        <v>0</v>
      </c>
      <c r="T28" s="57">
        <f>IF(AG28="7",H28,0)</f>
        <v>0</v>
      </c>
      <c r="U28" s="57">
        <f>IF(AG28="7",I28,0)</f>
        <v>0</v>
      </c>
      <c r="V28" s="57">
        <f>IF(AG28="2",H28,0)</f>
        <v>0</v>
      </c>
      <c r="W28" s="57">
        <f>IF(AG28="2",I28,0)</f>
        <v>0</v>
      </c>
      <c r="X28" s="57">
        <f>IF(AG28="0",J28,0)</f>
        <v>0</v>
      </c>
      <c r="Y28" s="46"/>
      <c r="Z28" s="31">
        <f>IF(AD28=0,J28,0)</f>
        <v>0</v>
      </c>
      <c r="AA28" s="31">
        <f>IF(AD28=15,J28,0)</f>
        <v>0</v>
      </c>
      <c r="AB28" s="31">
        <f>IF(AD28=21,J28,0)</f>
        <v>0</v>
      </c>
      <c r="AD28" s="57">
        <v>21</v>
      </c>
      <c r="AE28" s="57">
        <f>G28*0.415212765957447</f>
        <v>0</v>
      </c>
      <c r="AF28" s="57">
        <f>G28*(1-0.415212765957447)</f>
        <v>0</v>
      </c>
      <c r="AG28" s="52" t="s">
        <v>13</v>
      </c>
      <c r="AM28" s="57">
        <f>F28*AE28</f>
        <v>0</v>
      </c>
      <c r="AN28" s="57">
        <f>F28*AF28</f>
        <v>0</v>
      </c>
      <c r="AO28" s="58" t="s">
        <v>418</v>
      </c>
      <c r="AP28" s="58" t="s">
        <v>430</v>
      </c>
      <c r="AQ28" s="46" t="s">
        <v>434</v>
      </c>
      <c r="AS28" s="57">
        <f>AM28+AN28</f>
        <v>0</v>
      </c>
      <c r="AT28" s="57">
        <f>G28/(100-AU28)*100</f>
        <v>0</v>
      </c>
      <c r="AU28" s="57">
        <v>0</v>
      </c>
      <c r="AV28" s="57">
        <f>L28</f>
        <v>0.0393</v>
      </c>
    </row>
    <row r="29" spans="1:48" ht="12.75">
      <c r="A29" s="10" t="s">
        <v>20</v>
      </c>
      <c r="B29" s="10"/>
      <c r="C29" s="10" t="s">
        <v>138</v>
      </c>
      <c r="D29" s="10" t="s">
        <v>267</v>
      </c>
      <c r="E29" s="10" t="s">
        <v>376</v>
      </c>
      <c r="F29" s="31">
        <v>29</v>
      </c>
      <c r="G29" s="31">
        <v>0</v>
      </c>
      <c r="H29" s="31">
        <f>F29*AE29</f>
        <v>0</v>
      </c>
      <c r="I29" s="31">
        <f>J29-H29</f>
        <v>0</v>
      </c>
      <c r="J29" s="31">
        <f>F29*G29</f>
        <v>0</v>
      </c>
      <c r="K29" s="31">
        <v>0.00248</v>
      </c>
      <c r="L29" s="31">
        <f>F29*K29</f>
        <v>0.07192</v>
      </c>
      <c r="M29" s="52" t="s">
        <v>405</v>
      </c>
      <c r="P29" s="57">
        <f>IF(AG29="5",J29,0)</f>
        <v>0</v>
      </c>
      <c r="R29" s="57">
        <f>IF(AG29="1",H29,0)</f>
        <v>0</v>
      </c>
      <c r="S29" s="57">
        <f>IF(AG29="1",I29,0)</f>
        <v>0</v>
      </c>
      <c r="T29" s="57">
        <f>IF(AG29="7",H29,0)</f>
        <v>0</v>
      </c>
      <c r="U29" s="57">
        <f>IF(AG29="7",I29,0)</f>
        <v>0</v>
      </c>
      <c r="V29" s="57">
        <f>IF(AG29="2",H29,0)</f>
        <v>0</v>
      </c>
      <c r="W29" s="57">
        <f>IF(AG29="2",I29,0)</f>
        <v>0</v>
      </c>
      <c r="X29" s="57">
        <f>IF(AG29="0",J29,0)</f>
        <v>0</v>
      </c>
      <c r="Y29" s="46"/>
      <c r="Z29" s="31">
        <f>IF(AD29=0,J29,0)</f>
        <v>0</v>
      </c>
      <c r="AA29" s="31">
        <f>IF(AD29=15,J29,0)</f>
        <v>0</v>
      </c>
      <c r="AB29" s="31">
        <f>IF(AD29=21,J29,0)</f>
        <v>0</v>
      </c>
      <c r="AD29" s="57">
        <v>21</v>
      </c>
      <c r="AE29" s="57">
        <f>G29*0.713283996299722</f>
        <v>0</v>
      </c>
      <c r="AF29" s="57">
        <f>G29*(1-0.713283996299722)</f>
        <v>0</v>
      </c>
      <c r="AG29" s="52" t="s">
        <v>13</v>
      </c>
      <c r="AM29" s="57">
        <f>F29*AE29</f>
        <v>0</v>
      </c>
      <c r="AN29" s="57">
        <f>F29*AF29</f>
        <v>0</v>
      </c>
      <c r="AO29" s="58" t="s">
        <v>418</v>
      </c>
      <c r="AP29" s="58" t="s">
        <v>430</v>
      </c>
      <c r="AQ29" s="46" t="s">
        <v>434</v>
      </c>
      <c r="AS29" s="57">
        <f>AM29+AN29</f>
        <v>0</v>
      </c>
      <c r="AT29" s="57">
        <f>G29/(100-AU29)*100</f>
        <v>0</v>
      </c>
      <c r="AU29" s="57">
        <v>0</v>
      </c>
      <c r="AV29" s="57">
        <f>L29</f>
        <v>0.07192</v>
      </c>
    </row>
    <row r="30" spans="1:48" ht="12.75">
      <c r="A30" s="10" t="s">
        <v>21</v>
      </c>
      <c r="B30" s="10"/>
      <c r="C30" s="10" t="s">
        <v>139</v>
      </c>
      <c r="D30" s="10" t="s">
        <v>268</v>
      </c>
      <c r="E30" s="10" t="s">
        <v>376</v>
      </c>
      <c r="F30" s="31">
        <v>15</v>
      </c>
      <c r="G30" s="31">
        <v>0</v>
      </c>
      <c r="H30" s="31">
        <f>F30*AE30</f>
        <v>0</v>
      </c>
      <c r="I30" s="31">
        <f>J30-H30</f>
        <v>0</v>
      </c>
      <c r="J30" s="31">
        <f>F30*G30</f>
        <v>0</v>
      </c>
      <c r="K30" s="31">
        <v>0.00074</v>
      </c>
      <c r="L30" s="31">
        <f>F30*K30</f>
        <v>0.0111</v>
      </c>
      <c r="M30" s="52" t="s">
        <v>405</v>
      </c>
      <c r="P30" s="57">
        <f>IF(AG30="5",J30,0)</f>
        <v>0</v>
      </c>
      <c r="R30" s="57">
        <f>IF(AG30="1",H30,0)</f>
        <v>0</v>
      </c>
      <c r="S30" s="57">
        <f>IF(AG30="1",I30,0)</f>
        <v>0</v>
      </c>
      <c r="T30" s="57">
        <f>IF(AG30="7",H30,0)</f>
        <v>0</v>
      </c>
      <c r="U30" s="57">
        <f>IF(AG30="7",I30,0)</f>
        <v>0</v>
      </c>
      <c r="V30" s="57">
        <f>IF(AG30="2",H30,0)</f>
        <v>0</v>
      </c>
      <c r="W30" s="57">
        <f>IF(AG30="2",I30,0)</f>
        <v>0</v>
      </c>
      <c r="X30" s="57">
        <f>IF(AG30="0",J30,0)</f>
        <v>0</v>
      </c>
      <c r="Y30" s="46"/>
      <c r="Z30" s="31">
        <f>IF(AD30=0,J30,0)</f>
        <v>0</v>
      </c>
      <c r="AA30" s="31">
        <f>IF(AD30=15,J30,0)</f>
        <v>0</v>
      </c>
      <c r="AB30" s="31">
        <f>IF(AD30=21,J30,0)</f>
        <v>0</v>
      </c>
      <c r="AD30" s="57">
        <v>21</v>
      </c>
      <c r="AE30" s="57">
        <f>G30*0.378719101123595</f>
        <v>0</v>
      </c>
      <c r="AF30" s="57">
        <f>G30*(1-0.378719101123595)</f>
        <v>0</v>
      </c>
      <c r="AG30" s="52" t="s">
        <v>13</v>
      </c>
      <c r="AM30" s="57">
        <f>F30*AE30</f>
        <v>0</v>
      </c>
      <c r="AN30" s="57">
        <f>F30*AF30</f>
        <v>0</v>
      </c>
      <c r="AO30" s="58" t="s">
        <v>418</v>
      </c>
      <c r="AP30" s="58" t="s">
        <v>430</v>
      </c>
      <c r="AQ30" s="46" t="s">
        <v>434</v>
      </c>
      <c r="AS30" s="57">
        <f>AM30+AN30</f>
        <v>0</v>
      </c>
      <c r="AT30" s="57">
        <f>G30/(100-AU30)*100</f>
        <v>0</v>
      </c>
      <c r="AU30" s="57">
        <v>0</v>
      </c>
      <c r="AV30" s="57">
        <f>L30</f>
        <v>0.0111</v>
      </c>
    </row>
    <row r="31" spans="1:48" ht="12.75">
      <c r="A31" s="10" t="s">
        <v>22</v>
      </c>
      <c r="B31" s="10"/>
      <c r="C31" s="10" t="s">
        <v>140</v>
      </c>
      <c r="D31" s="10" t="s">
        <v>269</v>
      </c>
      <c r="E31" s="10" t="s">
        <v>376</v>
      </c>
      <c r="F31" s="31">
        <v>15</v>
      </c>
      <c r="G31" s="31">
        <v>0</v>
      </c>
      <c r="H31" s="31">
        <f>F31*AE31</f>
        <v>0</v>
      </c>
      <c r="I31" s="31">
        <f>J31-H31</f>
        <v>0</v>
      </c>
      <c r="J31" s="31">
        <f>F31*G31</f>
        <v>0</v>
      </c>
      <c r="K31" s="31">
        <v>0.00137</v>
      </c>
      <c r="L31" s="31">
        <f>F31*K31</f>
        <v>0.02055</v>
      </c>
      <c r="M31" s="52" t="s">
        <v>405</v>
      </c>
      <c r="P31" s="57">
        <f>IF(AG31="5",J31,0)</f>
        <v>0</v>
      </c>
      <c r="R31" s="57">
        <f>IF(AG31="1",H31,0)</f>
        <v>0</v>
      </c>
      <c r="S31" s="57">
        <f>IF(AG31="1",I31,0)</f>
        <v>0</v>
      </c>
      <c r="T31" s="57">
        <f>IF(AG31="7",H31,0)</f>
        <v>0</v>
      </c>
      <c r="U31" s="57">
        <f>IF(AG31="7",I31,0)</f>
        <v>0</v>
      </c>
      <c r="V31" s="57">
        <f>IF(AG31="2",H31,0)</f>
        <v>0</v>
      </c>
      <c r="W31" s="57">
        <f>IF(AG31="2",I31,0)</f>
        <v>0</v>
      </c>
      <c r="X31" s="57">
        <f>IF(AG31="0",J31,0)</f>
        <v>0</v>
      </c>
      <c r="Y31" s="46"/>
      <c r="Z31" s="31">
        <f>IF(AD31=0,J31,0)</f>
        <v>0</v>
      </c>
      <c r="AA31" s="31">
        <f>IF(AD31=15,J31,0)</f>
        <v>0</v>
      </c>
      <c r="AB31" s="31">
        <f>IF(AD31=21,J31,0)</f>
        <v>0</v>
      </c>
      <c r="AD31" s="57">
        <v>21</v>
      </c>
      <c r="AE31" s="57">
        <f>G31*0.469073576064027</f>
        <v>0</v>
      </c>
      <c r="AF31" s="57">
        <f>G31*(1-0.469073576064027)</f>
        <v>0</v>
      </c>
      <c r="AG31" s="52" t="s">
        <v>13</v>
      </c>
      <c r="AM31" s="57">
        <f>F31*AE31</f>
        <v>0</v>
      </c>
      <c r="AN31" s="57">
        <f>F31*AF31</f>
        <v>0</v>
      </c>
      <c r="AO31" s="58" t="s">
        <v>418</v>
      </c>
      <c r="AP31" s="58" t="s">
        <v>430</v>
      </c>
      <c r="AQ31" s="46" t="s">
        <v>434</v>
      </c>
      <c r="AS31" s="57">
        <f>AM31+AN31</f>
        <v>0</v>
      </c>
      <c r="AT31" s="57">
        <f>G31/(100-AU31)*100</f>
        <v>0</v>
      </c>
      <c r="AU31" s="57">
        <v>0</v>
      </c>
      <c r="AV31" s="57">
        <f>L31</f>
        <v>0.02055</v>
      </c>
    </row>
    <row r="32" spans="1:48" ht="12.75">
      <c r="A32" s="10" t="s">
        <v>23</v>
      </c>
      <c r="B32" s="10"/>
      <c r="C32" s="10" t="s">
        <v>141</v>
      </c>
      <c r="D32" s="10" t="s">
        <v>270</v>
      </c>
      <c r="E32" s="10" t="s">
        <v>376</v>
      </c>
      <c r="F32" s="31">
        <v>11</v>
      </c>
      <c r="G32" s="31">
        <v>0</v>
      </c>
      <c r="H32" s="31">
        <f>F32*AE32</f>
        <v>0</v>
      </c>
      <c r="I32" s="31">
        <f>J32-H32</f>
        <v>0</v>
      </c>
      <c r="J32" s="31">
        <f>F32*G32</f>
        <v>0</v>
      </c>
      <c r="K32" s="31">
        <v>0.00173</v>
      </c>
      <c r="L32" s="31">
        <f>F32*K32</f>
        <v>0.01903</v>
      </c>
      <c r="M32" s="52" t="s">
        <v>405</v>
      </c>
      <c r="P32" s="57">
        <f>IF(AG32="5",J32,0)</f>
        <v>0</v>
      </c>
      <c r="R32" s="57">
        <f>IF(AG32="1",H32,0)</f>
        <v>0</v>
      </c>
      <c r="S32" s="57">
        <f>IF(AG32="1",I32,0)</f>
        <v>0</v>
      </c>
      <c r="T32" s="57">
        <f>IF(AG32="7",H32,0)</f>
        <v>0</v>
      </c>
      <c r="U32" s="57">
        <f>IF(AG32="7",I32,0)</f>
        <v>0</v>
      </c>
      <c r="V32" s="57">
        <f>IF(AG32="2",H32,0)</f>
        <v>0</v>
      </c>
      <c r="W32" s="57">
        <f>IF(AG32="2",I32,0)</f>
        <v>0</v>
      </c>
      <c r="X32" s="57">
        <f>IF(AG32="0",J32,0)</f>
        <v>0</v>
      </c>
      <c r="Y32" s="46"/>
      <c r="Z32" s="31">
        <f>IF(AD32=0,J32,0)</f>
        <v>0</v>
      </c>
      <c r="AA32" s="31">
        <f>IF(AD32=15,J32,0)</f>
        <v>0</v>
      </c>
      <c r="AB32" s="31">
        <f>IF(AD32=21,J32,0)</f>
        <v>0</v>
      </c>
      <c r="AD32" s="57">
        <v>21</v>
      </c>
      <c r="AE32" s="57">
        <f>G32*0.630692888128222</f>
        <v>0</v>
      </c>
      <c r="AF32" s="57">
        <f>G32*(1-0.630692888128222)</f>
        <v>0</v>
      </c>
      <c r="AG32" s="52" t="s">
        <v>13</v>
      </c>
      <c r="AM32" s="57">
        <f>F32*AE32</f>
        <v>0</v>
      </c>
      <c r="AN32" s="57">
        <f>F32*AF32</f>
        <v>0</v>
      </c>
      <c r="AO32" s="58" t="s">
        <v>418</v>
      </c>
      <c r="AP32" s="58" t="s">
        <v>430</v>
      </c>
      <c r="AQ32" s="46" t="s">
        <v>434</v>
      </c>
      <c r="AS32" s="57">
        <f>AM32+AN32</f>
        <v>0</v>
      </c>
      <c r="AT32" s="57">
        <f>G32/(100-AU32)*100</f>
        <v>0</v>
      </c>
      <c r="AU32" s="57">
        <v>0</v>
      </c>
      <c r="AV32" s="57">
        <f>L32</f>
        <v>0.01903</v>
      </c>
    </row>
    <row r="33" spans="1:48" ht="12.75">
      <c r="A33" s="10" t="s">
        <v>24</v>
      </c>
      <c r="B33" s="10"/>
      <c r="C33" s="10" t="s">
        <v>142</v>
      </c>
      <c r="D33" s="10" t="s">
        <v>271</v>
      </c>
      <c r="E33" s="10" t="s">
        <v>376</v>
      </c>
      <c r="F33" s="31">
        <v>6</v>
      </c>
      <c r="G33" s="31">
        <v>0</v>
      </c>
      <c r="H33" s="31">
        <f>F33*AE33</f>
        <v>0</v>
      </c>
      <c r="I33" s="31">
        <f>J33-H33</f>
        <v>0</v>
      </c>
      <c r="J33" s="31">
        <f>F33*G33</f>
        <v>0</v>
      </c>
      <c r="K33" s="31">
        <v>0.00247</v>
      </c>
      <c r="L33" s="31">
        <f>F33*K33</f>
        <v>0.01482</v>
      </c>
      <c r="M33" s="52" t="s">
        <v>405</v>
      </c>
      <c r="P33" s="57">
        <f>IF(AG33="5",J33,0)</f>
        <v>0</v>
      </c>
      <c r="R33" s="57">
        <f>IF(AG33="1",H33,0)</f>
        <v>0</v>
      </c>
      <c r="S33" s="57">
        <f>IF(AG33="1",I33,0)</f>
        <v>0</v>
      </c>
      <c r="T33" s="57">
        <f>IF(AG33="7",H33,0)</f>
        <v>0</v>
      </c>
      <c r="U33" s="57">
        <f>IF(AG33="7",I33,0)</f>
        <v>0</v>
      </c>
      <c r="V33" s="57">
        <f>IF(AG33="2",H33,0)</f>
        <v>0</v>
      </c>
      <c r="W33" s="57">
        <f>IF(AG33="2",I33,0)</f>
        <v>0</v>
      </c>
      <c r="X33" s="57">
        <f>IF(AG33="0",J33,0)</f>
        <v>0</v>
      </c>
      <c r="Y33" s="46"/>
      <c r="Z33" s="31">
        <f>IF(AD33=0,J33,0)</f>
        <v>0</v>
      </c>
      <c r="AA33" s="31">
        <f>IF(AD33=15,J33,0)</f>
        <v>0</v>
      </c>
      <c r="AB33" s="31">
        <f>IF(AD33=21,J33,0)</f>
        <v>0</v>
      </c>
      <c r="AD33" s="57">
        <v>21</v>
      </c>
      <c r="AE33" s="57">
        <f>G33*0.680356164383562</f>
        <v>0</v>
      </c>
      <c r="AF33" s="57">
        <f>G33*(1-0.680356164383562)</f>
        <v>0</v>
      </c>
      <c r="AG33" s="52" t="s">
        <v>13</v>
      </c>
      <c r="AM33" s="57">
        <f>F33*AE33</f>
        <v>0</v>
      </c>
      <c r="AN33" s="57">
        <f>F33*AF33</f>
        <v>0</v>
      </c>
      <c r="AO33" s="58" t="s">
        <v>418</v>
      </c>
      <c r="AP33" s="58" t="s">
        <v>430</v>
      </c>
      <c r="AQ33" s="46" t="s">
        <v>434</v>
      </c>
      <c r="AS33" s="57">
        <f>AM33+AN33</f>
        <v>0</v>
      </c>
      <c r="AT33" s="57">
        <f>G33/(100-AU33)*100</f>
        <v>0</v>
      </c>
      <c r="AU33" s="57">
        <v>0</v>
      </c>
      <c r="AV33" s="57">
        <f>L33</f>
        <v>0.01482</v>
      </c>
    </row>
    <row r="34" spans="1:48" ht="12.75">
      <c r="A34" s="10" t="s">
        <v>25</v>
      </c>
      <c r="B34" s="10"/>
      <c r="C34" s="10" t="s">
        <v>143</v>
      </c>
      <c r="D34" s="10" t="s">
        <v>272</v>
      </c>
      <c r="E34" s="10" t="s">
        <v>375</v>
      </c>
      <c r="F34" s="31">
        <v>25</v>
      </c>
      <c r="G34" s="31">
        <v>0</v>
      </c>
      <c r="H34" s="31">
        <f>F34*AE34</f>
        <v>0</v>
      </c>
      <c r="I34" s="31">
        <f>J34-H34</f>
        <v>0</v>
      </c>
      <c r="J34" s="31">
        <f>F34*G34</f>
        <v>0</v>
      </c>
      <c r="K34" s="31">
        <v>0</v>
      </c>
      <c r="L34" s="31">
        <f>F34*K34</f>
        <v>0</v>
      </c>
      <c r="M34" s="52" t="s">
        <v>405</v>
      </c>
      <c r="P34" s="57">
        <f>IF(AG34="5",J34,0)</f>
        <v>0</v>
      </c>
      <c r="R34" s="57">
        <f>IF(AG34="1",H34,0)</f>
        <v>0</v>
      </c>
      <c r="S34" s="57">
        <f>IF(AG34="1",I34,0)</f>
        <v>0</v>
      </c>
      <c r="T34" s="57">
        <f>IF(AG34="7",H34,0)</f>
        <v>0</v>
      </c>
      <c r="U34" s="57">
        <f>IF(AG34="7",I34,0)</f>
        <v>0</v>
      </c>
      <c r="V34" s="57">
        <f>IF(AG34="2",H34,0)</f>
        <v>0</v>
      </c>
      <c r="W34" s="57">
        <f>IF(AG34="2",I34,0)</f>
        <v>0</v>
      </c>
      <c r="X34" s="57">
        <f>IF(AG34="0",J34,0)</f>
        <v>0</v>
      </c>
      <c r="Y34" s="46"/>
      <c r="Z34" s="31">
        <f>IF(AD34=0,J34,0)</f>
        <v>0</v>
      </c>
      <c r="AA34" s="31">
        <f>IF(AD34=15,J34,0)</f>
        <v>0</v>
      </c>
      <c r="AB34" s="31">
        <f>IF(AD34=21,J34,0)</f>
        <v>0</v>
      </c>
      <c r="AD34" s="57">
        <v>21</v>
      </c>
      <c r="AE34" s="57">
        <f>G34*0</f>
        <v>0</v>
      </c>
      <c r="AF34" s="57">
        <f>G34*(1-0)</f>
        <v>0</v>
      </c>
      <c r="AG34" s="52" t="s">
        <v>13</v>
      </c>
      <c r="AM34" s="57">
        <f>F34*AE34</f>
        <v>0</v>
      </c>
      <c r="AN34" s="57">
        <f>F34*AF34</f>
        <v>0</v>
      </c>
      <c r="AO34" s="58" t="s">
        <v>418</v>
      </c>
      <c r="AP34" s="58" t="s">
        <v>430</v>
      </c>
      <c r="AQ34" s="46" t="s">
        <v>434</v>
      </c>
      <c r="AS34" s="57">
        <f>AM34+AN34</f>
        <v>0</v>
      </c>
      <c r="AT34" s="57">
        <f>G34/(100-AU34)*100</f>
        <v>0</v>
      </c>
      <c r="AU34" s="57">
        <v>0</v>
      </c>
      <c r="AV34" s="57">
        <f>L34</f>
        <v>0</v>
      </c>
    </row>
    <row r="35" spans="1:48" ht="12.75">
      <c r="A35" s="10" t="s">
        <v>26</v>
      </c>
      <c r="B35" s="10"/>
      <c r="C35" s="10" t="s">
        <v>144</v>
      </c>
      <c r="D35" s="10" t="s">
        <v>273</v>
      </c>
      <c r="E35" s="10" t="s">
        <v>375</v>
      </c>
      <c r="F35" s="31">
        <v>4</v>
      </c>
      <c r="G35" s="31">
        <v>0</v>
      </c>
      <c r="H35" s="31">
        <f>F35*AE35</f>
        <v>0</v>
      </c>
      <c r="I35" s="31">
        <f>J35-H35</f>
        <v>0</v>
      </c>
      <c r="J35" s="31">
        <f>F35*G35</f>
        <v>0</v>
      </c>
      <c r="K35" s="31">
        <v>0</v>
      </c>
      <c r="L35" s="31">
        <f>F35*K35</f>
        <v>0</v>
      </c>
      <c r="M35" s="52" t="s">
        <v>405</v>
      </c>
      <c r="P35" s="57">
        <f>IF(AG35="5",J35,0)</f>
        <v>0</v>
      </c>
      <c r="R35" s="57">
        <f>IF(AG35="1",H35,0)</f>
        <v>0</v>
      </c>
      <c r="S35" s="57">
        <f>IF(AG35="1",I35,0)</f>
        <v>0</v>
      </c>
      <c r="T35" s="57">
        <f>IF(AG35="7",H35,0)</f>
        <v>0</v>
      </c>
      <c r="U35" s="57">
        <f>IF(AG35="7",I35,0)</f>
        <v>0</v>
      </c>
      <c r="V35" s="57">
        <f>IF(AG35="2",H35,0)</f>
        <v>0</v>
      </c>
      <c r="W35" s="57">
        <f>IF(AG35="2",I35,0)</f>
        <v>0</v>
      </c>
      <c r="X35" s="57">
        <f>IF(AG35="0",J35,0)</f>
        <v>0</v>
      </c>
      <c r="Y35" s="46"/>
      <c r="Z35" s="31">
        <f>IF(AD35=0,J35,0)</f>
        <v>0</v>
      </c>
      <c r="AA35" s="31">
        <f>IF(AD35=15,J35,0)</f>
        <v>0</v>
      </c>
      <c r="AB35" s="31">
        <f>IF(AD35=21,J35,0)</f>
        <v>0</v>
      </c>
      <c r="AD35" s="57">
        <v>21</v>
      </c>
      <c r="AE35" s="57">
        <f>G35*0</f>
        <v>0</v>
      </c>
      <c r="AF35" s="57">
        <f>G35*(1-0)</f>
        <v>0</v>
      </c>
      <c r="AG35" s="52" t="s">
        <v>13</v>
      </c>
      <c r="AM35" s="57">
        <f>F35*AE35</f>
        <v>0</v>
      </c>
      <c r="AN35" s="57">
        <f>F35*AF35</f>
        <v>0</v>
      </c>
      <c r="AO35" s="58" t="s">
        <v>418</v>
      </c>
      <c r="AP35" s="58" t="s">
        <v>430</v>
      </c>
      <c r="AQ35" s="46" t="s">
        <v>434</v>
      </c>
      <c r="AS35" s="57">
        <f>AM35+AN35</f>
        <v>0</v>
      </c>
      <c r="AT35" s="57">
        <f>G35/(100-AU35)*100</f>
        <v>0</v>
      </c>
      <c r="AU35" s="57">
        <v>0</v>
      </c>
      <c r="AV35" s="57">
        <f>L35</f>
        <v>0</v>
      </c>
    </row>
    <row r="36" spans="1:48" ht="12.75">
      <c r="A36" s="10" t="s">
        <v>27</v>
      </c>
      <c r="B36" s="10"/>
      <c r="C36" s="10" t="s">
        <v>145</v>
      </c>
      <c r="D36" s="10" t="s">
        <v>274</v>
      </c>
      <c r="E36" s="10" t="s">
        <v>375</v>
      </c>
      <c r="F36" s="31">
        <v>2</v>
      </c>
      <c r="G36" s="31">
        <v>0</v>
      </c>
      <c r="H36" s="31">
        <f>F36*AE36</f>
        <v>0</v>
      </c>
      <c r="I36" s="31">
        <f>J36-H36</f>
        <v>0</v>
      </c>
      <c r="J36" s="31">
        <f>F36*G36</f>
        <v>0</v>
      </c>
      <c r="K36" s="31">
        <v>0</v>
      </c>
      <c r="L36" s="31">
        <f>F36*K36</f>
        <v>0</v>
      </c>
      <c r="M36" s="52" t="s">
        <v>405</v>
      </c>
      <c r="P36" s="57">
        <f>IF(AG36="5",J36,0)</f>
        <v>0</v>
      </c>
      <c r="R36" s="57">
        <f>IF(AG36="1",H36,0)</f>
        <v>0</v>
      </c>
      <c r="S36" s="57">
        <f>IF(AG36="1",I36,0)</f>
        <v>0</v>
      </c>
      <c r="T36" s="57">
        <f>IF(AG36="7",H36,0)</f>
        <v>0</v>
      </c>
      <c r="U36" s="57">
        <f>IF(AG36="7",I36,0)</f>
        <v>0</v>
      </c>
      <c r="V36" s="57">
        <f>IF(AG36="2",H36,0)</f>
        <v>0</v>
      </c>
      <c r="W36" s="57">
        <f>IF(AG36="2",I36,0)</f>
        <v>0</v>
      </c>
      <c r="X36" s="57">
        <f>IF(AG36="0",J36,0)</f>
        <v>0</v>
      </c>
      <c r="Y36" s="46"/>
      <c r="Z36" s="31">
        <f>IF(AD36=0,J36,0)</f>
        <v>0</v>
      </c>
      <c r="AA36" s="31">
        <f>IF(AD36=15,J36,0)</f>
        <v>0</v>
      </c>
      <c r="AB36" s="31">
        <f>IF(AD36=21,J36,0)</f>
        <v>0</v>
      </c>
      <c r="AD36" s="57">
        <v>21</v>
      </c>
      <c r="AE36" s="57">
        <f>G36*0</f>
        <v>0</v>
      </c>
      <c r="AF36" s="57">
        <f>G36*(1-0)</f>
        <v>0</v>
      </c>
      <c r="AG36" s="52" t="s">
        <v>13</v>
      </c>
      <c r="AM36" s="57">
        <f>F36*AE36</f>
        <v>0</v>
      </c>
      <c r="AN36" s="57">
        <f>F36*AF36</f>
        <v>0</v>
      </c>
      <c r="AO36" s="58" t="s">
        <v>418</v>
      </c>
      <c r="AP36" s="58" t="s">
        <v>430</v>
      </c>
      <c r="AQ36" s="46" t="s">
        <v>434</v>
      </c>
      <c r="AS36" s="57">
        <f>AM36+AN36</f>
        <v>0</v>
      </c>
      <c r="AT36" s="57">
        <f>G36/(100-AU36)*100</f>
        <v>0</v>
      </c>
      <c r="AU36" s="57">
        <v>0</v>
      </c>
      <c r="AV36" s="57">
        <f>L36</f>
        <v>0</v>
      </c>
    </row>
    <row r="37" spans="1:48" ht="12.75">
      <c r="A37" s="10" t="s">
        <v>28</v>
      </c>
      <c r="B37" s="10"/>
      <c r="C37" s="10" t="s">
        <v>146</v>
      </c>
      <c r="D37" s="10" t="s">
        <v>275</v>
      </c>
      <c r="E37" s="10" t="s">
        <v>375</v>
      </c>
      <c r="F37" s="31">
        <v>22</v>
      </c>
      <c r="G37" s="31">
        <v>0</v>
      </c>
      <c r="H37" s="31">
        <f>F37*AE37</f>
        <v>0</v>
      </c>
      <c r="I37" s="31">
        <f>J37-H37</f>
        <v>0</v>
      </c>
      <c r="J37" s="31">
        <f>F37*G37</f>
        <v>0</v>
      </c>
      <c r="K37" s="31">
        <v>0</v>
      </c>
      <c r="L37" s="31">
        <f>F37*K37</f>
        <v>0</v>
      </c>
      <c r="M37" s="52" t="s">
        <v>405</v>
      </c>
      <c r="P37" s="57">
        <f>IF(AG37="5",J37,0)</f>
        <v>0</v>
      </c>
      <c r="R37" s="57">
        <f>IF(AG37="1",H37,0)</f>
        <v>0</v>
      </c>
      <c r="S37" s="57">
        <f>IF(AG37="1",I37,0)</f>
        <v>0</v>
      </c>
      <c r="T37" s="57">
        <f>IF(AG37="7",H37,0)</f>
        <v>0</v>
      </c>
      <c r="U37" s="57">
        <f>IF(AG37="7",I37,0)</f>
        <v>0</v>
      </c>
      <c r="V37" s="57">
        <f>IF(AG37="2",H37,0)</f>
        <v>0</v>
      </c>
      <c r="W37" s="57">
        <f>IF(AG37="2",I37,0)</f>
        <v>0</v>
      </c>
      <c r="X37" s="57">
        <f>IF(AG37="0",J37,0)</f>
        <v>0</v>
      </c>
      <c r="Y37" s="46"/>
      <c r="Z37" s="31">
        <f>IF(AD37=0,J37,0)</f>
        <v>0</v>
      </c>
      <c r="AA37" s="31">
        <f>IF(AD37=15,J37,0)</f>
        <v>0</v>
      </c>
      <c r="AB37" s="31">
        <f>IF(AD37=21,J37,0)</f>
        <v>0</v>
      </c>
      <c r="AD37" s="57">
        <v>21</v>
      </c>
      <c r="AE37" s="57">
        <f>G37*0</f>
        <v>0</v>
      </c>
      <c r="AF37" s="57">
        <f>G37*(1-0)</f>
        <v>0</v>
      </c>
      <c r="AG37" s="52" t="s">
        <v>13</v>
      </c>
      <c r="AM37" s="57">
        <f>F37*AE37</f>
        <v>0</v>
      </c>
      <c r="AN37" s="57">
        <f>F37*AF37</f>
        <v>0</v>
      </c>
      <c r="AO37" s="58" t="s">
        <v>418</v>
      </c>
      <c r="AP37" s="58" t="s">
        <v>430</v>
      </c>
      <c r="AQ37" s="46" t="s">
        <v>434</v>
      </c>
      <c r="AS37" s="57">
        <f>AM37+AN37</f>
        <v>0</v>
      </c>
      <c r="AT37" s="57">
        <f>G37/(100-AU37)*100</f>
        <v>0</v>
      </c>
      <c r="AU37" s="57">
        <v>0</v>
      </c>
      <c r="AV37" s="57">
        <f>L37</f>
        <v>0</v>
      </c>
    </row>
    <row r="38" spans="1:48" ht="12.75">
      <c r="A38" s="10" t="s">
        <v>29</v>
      </c>
      <c r="B38" s="10"/>
      <c r="C38" s="10" t="s">
        <v>147</v>
      </c>
      <c r="D38" s="10" t="s">
        <v>276</v>
      </c>
      <c r="E38" s="10" t="s">
        <v>375</v>
      </c>
      <c r="F38" s="31">
        <v>1</v>
      </c>
      <c r="G38" s="31">
        <v>0</v>
      </c>
      <c r="H38" s="31">
        <f>F38*AE38</f>
        <v>0</v>
      </c>
      <c r="I38" s="31">
        <f>J38-H38</f>
        <v>0</v>
      </c>
      <c r="J38" s="31">
        <f>F38*G38</f>
        <v>0</v>
      </c>
      <c r="K38" s="31">
        <v>0.01218</v>
      </c>
      <c r="L38" s="31">
        <f>F38*K38</f>
        <v>0.01218</v>
      </c>
      <c r="M38" s="52" t="s">
        <v>405</v>
      </c>
      <c r="P38" s="57">
        <f>IF(AG38="5",J38,0)</f>
        <v>0</v>
      </c>
      <c r="R38" s="57">
        <f>IF(AG38="1",H38,0)</f>
        <v>0</v>
      </c>
      <c r="S38" s="57">
        <f>IF(AG38="1",I38,0)</f>
        <v>0</v>
      </c>
      <c r="T38" s="57">
        <f>IF(AG38="7",H38,0)</f>
        <v>0</v>
      </c>
      <c r="U38" s="57">
        <f>IF(AG38="7",I38,0)</f>
        <v>0</v>
      </c>
      <c r="V38" s="57">
        <f>IF(AG38="2",H38,0)</f>
        <v>0</v>
      </c>
      <c r="W38" s="57">
        <f>IF(AG38="2",I38,0)</f>
        <v>0</v>
      </c>
      <c r="X38" s="57">
        <f>IF(AG38="0",J38,0)</f>
        <v>0</v>
      </c>
      <c r="Y38" s="46"/>
      <c r="Z38" s="31">
        <f>IF(AD38=0,J38,0)</f>
        <v>0</v>
      </c>
      <c r="AA38" s="31">
        <f>IF(AD38=15,J38,0)</f>
        <v>0</v>
      </c>
      <c r="AB38" s="31">
        <f>IF(AD38=21,J38,0)</f>
        <v>0</v>
      </c>
      <c r="AD38" s="57">
        <v>21</v>
      </c>
      <c r="AE38" s="57">
        <f>G38*0</f>
        <v>0</v>
      </c>
      <c r="AF38" s="57">
        <f>G38*(1-0)</f>
        <v>0</v>
      </c>
      <c r="AG38" s="52" t="s">
        <v>13</v>
      </c>
      <c r="AM38" s="57">
        <f>F38*AE38</f>
        <v>0</v>
      </c>
      <c r="AN38" s="57">
        <f>F38*AF38</f>
        <v>0</v>
      </c>
      <c r="AO38" s="58" t="s">
        <v>418</v>
      </c>
      <c r="AP38" s="58" t="s">
        <v>430</v>
      </c>
      <c r="AQ38" s="46" t="s">
        <v>434</v>
      </c>
      <c r="AS38" s="57">
        <f>AM38+AN38</f>
        <v>0</v>
      </c>
      <c r="AT38" s="57">
        <f>G38/(100-AU38)*100</f>
        <v>0</v>
      </c>
      <c r="AU38" s="57">
        <v>0</v>
      </c>
      <c r="AV38" s="57">
        <f>L38</f>
        <v>0.01218</v>
      </c>
    </row>
    <row r="39" spans="1:48" ht="12.75">
      <c r="A39" s="10" t="s">
        <v>30</v>
      </c>
      <c r="B39" s="10"/>
      <c r="C39" s="10" t="s">
        <v>148</v>
      </c>
      <c r="D39" s="10" t="s">
        <v>277</v>
      </c>
      <c r="E39" s="10" t="s">
        <v>375</v>
      </c>
      <c r="F39" s="31">
        <v>1</v>
      </c>
      <c r="G39" s="31">
        <v>0</v>
      </c>
      <c r="H39" s="31">
        <f>F39*AE39</f>
        <v>0</v>
      </c>
      <c r="I39" s="31">
        <f>J39-H39</f>
        <v>0</v>
      </c>
      <c r="J39" s="31">
        <f>F39*G39</f>
        <v>0</v>
      </c>
      <c r="K39" s="31">
        <v>0.00075</v>
      </c>
      <c r="L39" s="31">
        <f>F39*K39</f>
        <v>0.00075</v>
      </c>
      <c r="M39" s="52" t="s">
        <v>405</v>
      </c>
      <c r="P39" s="57">
        <f>IF(AG39="5",J39,0)</f>
        <v>0</v>
      </c>
      <c r="R39" s="57">
        <f>IF(AG39="1",H39,0)</f>
        <v>0</v>
      </c>
      <c r="S39" s="57">
        <f>IF(AG39="1",I39,0)</f>
        <v>0</v>
      </c>
      <c r="T39" s="57">
        <f>IF(AG39="7",H39,0)</f>
        <v>0</v>
      </c>
      <c r="U39" s="57">
        <f>IF(AG39="7",I39,0)</f>
        <v>0</v>
      </c>
      <c r="V39" s="57">
        <f>IF(AG39="2",H39,0)</f>
        <v>0</v>
      </c>
      <c r="W39" s="57">
        <f>IF(AG39="2",I39,0)</f>
        <v>0</v>
      </c>
      <c r="X39" s="57">
        <f>IF(AG39="0",J39,0)</f>
        <v>0</v>
      </c>
      <c r="Y39" s="46"/>
      <c r="Z39" s="31">
        <f>IF(AD39=0,J39,0)</f>
        <v>0</v>
      </c>
      <c r="AA39" s="31">
        <f>IF(AD39=15,J39,0)</f>
        <v>0</v>
      </c>
      <c r="AB39" s="31">
        <f>IF(AD39=21,J39,0)</f>
        <v>0</v>
      </c>
      <c r="AD39" s="57">
        <v>21</v>
      </c>
      <c r="AE39" s="57">
        <f>G39*0.937792792792793</f>
        <v>0</v>
      </c>
      <c r="AF39" s="57">
        <f>G39*(1-0.937792792792793)</f>
        <v>0</v>
      </c>
      <c r="AG39" s="52" t="s">
        <v>13</v>
      </c>
      <c r="AM39" s="57">
        <f>F39*AE39</f>
        <v>0</v>
      </c>
      <c r="AN39" s="57">
        <f>F39*AF39</f>
        <v>0</v>
      </c>
      <c r="AO39" s="58" t="s">
        <v>418</v>
      </c>
      <c r="AP39" s="58" t="s">
        <v>430</v>
      </c>
      <c r="AQ39" s="46" t="s">
        <v>434</v>
      </c>
      <c r="AS39" s="57">
        <f>AM39+AN39</f>
        <v>0</v>
      </c>
      <c r="AT39" s="57">
        <f>G39/(100-AU39)*100</f>
        <v>0</v>
      </c>
      <c r="AU39" s="57">
        <v>0</v>
      </c>
      <c r="AV39" s="57">
        <f>L39</f>
        <v>0.00075</v>
      </c>
    </row>
    <row r="40" spans="1:48" ht="12.75">
      <c r="A40" s="10" t="s">
        <v>31</v>
      </c>
      <c r="B40" s="10"/>
      <c r="C40" s="10" t="s">
        <v>149</v>
      </c>
      <c r="D40" s="10" t="s">
        <v>278</v>
      </c>
      <c r="E40" s="10" t="s">
        <v>375</v>
      </c>
      <c r="F40" s="31">
        <v>3</v>
      </c>
      <c r="G40" s="31">
        <v>0</v>
      </c>
      <c r="H40" s="31">
        <f>F40*AE40</f>
        <v>0</v>
      </c>
      <c r="I40" s="31">
        <f>J40-H40</f>
        <v>0</v>
      </c>
      <c r="J40" s="31">
        <f>F40*G40</f>
        <v>0</v>
      </c>
      <c r="K40" s="31">
        <v>0.00027</v>
      </c>
      <c r="L40" s="31">
        <f>F40*K40</f>
        <v>0.00081</v>
      </c>
      <c r="M40" s="52" t="s">
        <v>405</v>
      </c>
      <c r="P40" s="57">
        <f>IF(AG40="5",J40,0)</f>
        <v>0</v>
      </c>
      <c r="R40" s="57">
        <f>IF(AG40="1",H40,0)</f>
        <v>0</v>
      </c>
      <c r="S40" s="57">
        <f>IF(AG40="1",I40,0)</f>
        <v>0</v>
      </c>
      <c r="T40" s="57">
        <f>IF(AG40="7",H40,0)</f>
        <v>0</v>
      </c>
      <c r="U40" s="57">
        <f>IF(AG40="7",I40,0)</f>
        <v>0</v>
      </c>
      <c r="V40" s="57">
        <f>IF(AG40="2",H40,0)</f>
        <v>0</v>
      </c>
      <c r="W40" s="57">
        <f>IF(AG40="2",I40,0)</f>
        <v>0</v>
      </c>
      <c r="X40" s="57">
        <f>IF(AG40="0",J40,0)</f>
        <v>0</v>
      </c>
      <c r="Y40" s="46"/>
      <c r="Z40" s="31">
        <f>IF(AD40=0,J40,0)</f>
        <v>0</v>
      </c>
      <c r="AA40" s="31">
        <f>IF(AD40=15,J40,0)</f>
        <v>0</v>
      </c>
      <c r="AB40" s="31">
        <f>IF(AD40=21,J40,0)</f>
        <v>0</v>
      </c>
      <c r="AD40" s="57">
        <v>21</v>
      </c>
      <c r="AE40" s="57">
        <f>G40*0.811603053435115</f>
        <v>0</v>
      </c>
      <c r="AF40" s="57">
        <f>G40*(1-0.811603053435115)</f>
        <v>0</v>
      </c>
      <c r="AG40" s="52" t="s">
        <v>13</v>
      </c>
      <c r="AM40" s="57">
        <f>F40*AE40</f>
        <v>0</v>
      </c>
      <c r="AN40" s="57">
        <f>F40*AF40</f>
        <v>0</v>
      </c>
      <c r="AO40" s="58" t="s">
        <v>418</v>
      </c>
      <c r="AP40" s="58" t="s">
        <v>430</v>
      </c>
      <c r="AQ40" s="46" t="s">
        <v>434</v>
      </c>
      <c r="AS40" s="57">
        <f>AM40+AN40</f>
        <v>0</v>
      </c>
      <c r="AT40" s="57">
        <f>G40/(100-AU40)*100</f>
        <v>0</v>
      </c>
      <c r="AU40" s="57">
        <v>0</v>
      </c>
      <c r="AV40" s="57">
        <f>L40</f>
        <v>0.00081</v>
      </c>
    </row>
    <row r="41" spans="1:48" ht="12.75">
      <c r="A41" s="10" t="s">
        <v>32</v>
      </c>
      <c r="B41" s="10"/>
      <c r="C41" s="10" t="s">
        <v>150</v>
      </c>
      <c r="D41" s="10" t="s">
        <v>279</v>
      </c>
      <c r="E41" s="10" t="s">
        <v>376</v>
      </c>
      <c r="F41" s="31">
        <v>184</v>
      </c>
      <c r="G41" s="31">
        <v>0</v>
      </c>
      <c r="H41" s="31">
        <f>F41*AE41</f>
        <v>0</v>
      </c>
      <c r="I41" s="31">
        <f>J41-H41</f>
        <v>0</v>
      </c>
      <c r="J41" s="31">
        <f>F41*G41</f>
        <v>0</v>
      </c>
      <c r="K41" s="31">
        <v>0</v>
      </c>
      <c r="L41" s="31">
        <f>F41*K41</f>
        <v>0</v>
      </c>
      <c r="M41" s="52" t="s">
        <v>405</v>
      </c>
      <c r="P41" s="57">
        <f>IF(AG41="5",J41,0)</f>
        <v>0</v>
      </c>
      <c r="R41" s="57">
        <f>IF(AG41="1",H41,0)</f>
        <v>0</v>
      </c>
      <c r="S41" s="57">
        <f>IF(AG41="1",I41,0)</f>
        <v>0</v>
      </c>
      <c r="T41" s="57">
        <f>IF(AG41="7",H41,0)</f>
        <v>0</v>
      </c>
      <c r="U41" s="57">
        <f>IF(AG41="7",I41,0)</f>
        <v>0</v>
      </c>
      <c r="V41" s="57">
        <f>IF(AG41="2",H41,0)</f>
        <v>0</v>
      </c>
      <c r="W41" s="57">
        <f>IF(AG41="2",I41,0)</f>
        <v>0</v>
      </c>
      <c r="X41" s="57">
        <f>IF(AG41="0",J41,0)</f>
        <v>0</v>
      </c>
      <c r="Y41" s="46"/>
      <c r="Z41" s="31">
        <f>IF(AD41=0,J41,0)</f>
        <v>0</v>
      </c>
      <c r="AA41" s="31">
        <f>IF(AD41=15,J41,0)</f>
        <v>0</v>
      </c>
      <c r="AB41" s="31">
        <f>IF(AD41=21,J41,0)</f>
        <v>0</v>
      </c>
      <c r="AD41" s="57">
        <v>21</v>
      </c>
      <c r="AE41" s="57">
        <f>G41*0</f>
        <v>0</v>
      </c>
      <c r="AF41" s="57">
        <f>G41*(1-0)</f>
        <v>0</v>
      </c>
      <c r="AG41" s="52" t="s">
        <v>13</v>
      </c>
      <c r="AM41" s="57">
        <f>F41*AE41</f>
        <v>0</v>
      </c>
      <c r="AN41" s="57">
        <f>F41*AF41</f>
        <v>0</v>
      </c>
      <c r="AO41" s="58" t="s">
        <v>418</v>
      </c>
      <c r="AP41" s="58" t="s">
        <v>430</v>
      </c>
      <c r="AQ41" s="46" t="s">
        <v>434</v>
      </c>
      <c r="AS41" s="57">
        <f>AM41+AN41</f>
        <v>0</v>
      </c>
      <c r="AT41" s="57">
        <f>G41/(100-AU41)*100</f>
        <v>0</v>
      </c>
      <c r="AU41" s="57">
        <v>0</v>
      </c>
      <c r="AV41" s="57">
        <f>L41</f>
        <v>0</v>
      </c>
    </row>
    <row r="42" spans="1:48" ht="12.75">
      <c r="A42" s="10" t="s">
        <v>33</v>
      </c>
      <c r="B42" s="10"/>
      <c r="C42" s="10" t="s">
        <v>151</v>
      </c>
      <c r="D42" s="10" t="s">
        <v>280</v>
      </c>
      <c r="E42" s="10" t="s">
        <v>377</v>
      </c>
      <c r="F42" s="31">
        <v>4.2027</v>
      </c>
      <c r="G42" s="31">
        <v>0</v>
      </c>
      <c r="H42" s="31">
        <f>F42*AE42</f>
        <v>0</v>
      </c>
      <c r="I42" s="31">
        <f>J42-H42</f>
        <v>0</v>
      </c>
      <c r="J42" s="31">
        <f>F42*G42</f>
        <v>0</v>
      </c>
      <c r="K42" s="31">
        <v>0</v>
      </c>
      <c r="L42" s="31">
        <f>F42*K42</f>
        <v>0</v>
      </c>
      <c r="M42" s="52" t="s">
        <v>405</v>
      </c>
      <c r="P42" s="57">
        <f>IF(AG42="5",J42,0)</f>
        <v>0</v>
      </c>
      <c r="R42" s="57">
        <f>IF(AG42="1",H42,0)</f>
        <v>0</v>
      </c>
      <c r="S42" s="57">
        <f>IF(AG42="1",I42,0)</f>
        <v>0</v>
      </c>
      <c r="T42" s="57">
        <f>IF(AG42="7",H42,0)</f>
        <v>0</v>
      </c>
      <c r="U42" s="57">
        <f>IF(AG42="7",I42,0)</f>
        <v>0</v>
      </c>
      <c r="V42" s="57">
        <f>IF(AG42="2",H42,0)</f>
        <v>0</v>
      </c>
      <c r="W42" s="57">
        <f>IF(AG42="2",I42,0)</f>
        <v>0</v>
      </c>
      <c r="X42" s="57">
        <f>IF(AG42="0",J42,0)</f>
        <v>0</v>
      </c>
      <c r="Y42" s="46"/>
      <c r="Z42" s="31">
        <f>IF(AD42=0,J42,0)</f>
        <v>0</v>
      </c>
      <c r="AA42" s="31">
        <f>IF(AD42=15,J42,0)</f>
        <v>0</v>
      </c>
      <c r="AB42" s="31">
        <f>IF(AD42=21,J42,0)</f>
        <v>0</v>
      </c>
      <c r="AD42" s="57">
        <v>21</v>
      </c>
      <c r="AE42" s="57">
        <f>G42*0</f>
        <v>0</v>
      </c>
      <c r="AF42" s="57">
        <f>G42*(1-0)</f>
        <v>0</v>
      </c>
      <c r="AG42" s="52" t="s">
        <v>13</v>
      </c>
      <c r="AM42" s="57">
        <f>F42*AE42</f>
        <v>0</v>
      </c>
      <c r="AN42" s="57">
        <f>F42*AF42</f>
        <v>0</v>
      </c>
      <c r="AO42" s="58" t="s">
        <v>418</v>
      </c>
      <c r="AP42" s="58" t="s">
        <v>430</v>
      </c>
      <c r="AQ42" s="46" t="s">
        <v>434</v>
      </c>
      <c r="AS42" s="57">
        <f>AM42+AN42</f>
        <v>0</v>
      </c>
      <c r="AT42" s="57">
        <f>G42/(100-AU42)*100</f>
        <v>0</v>
      </c>
      <c r="AU42" s="57">
        <v>0</v>
      </c>
      <c r="AV42" s="57">
        <f>L42</f>
        <v>0</v>
      </c>
    </row>
    <row r="43" spans="1:48" ht="12.75">
      <c r="A43" s="10" t="s">
        <v>34</v>
      </c>
      <c r="B43" s="10"/>
      <c r="C43" s="10" t="s">
        <v>152</v>
      </c>
      <c r="D43" s="10" t="s">
        <v>281</v>
      </c>
      <c r="E43" s="10" t="s">
        <v>376</v>
      </c>
      <c r="F43" s="31">
        <v>183</v>
      </c>
      <c r="G43" s="31">
        <v>0</v>
      </c>
      <c r="H43" s="31">
        <f>F43*AE43</f>
        <v>0</v>
      </c>
      <c r="I43" s="31">
        <f>J43-H43</f>
        <v>0</v>
      </c>
      <c r="J43" s="31">
        <f>F43*G43</f>
        <v>0</v>
      </c>
      <c r="K43" s="31">
        <v>0.01492</v>
      </c>
      <c r="L43" s="31">
        <f>F43*K43</f>
        <v>2.7303599999999997</v>
      </c>
      <c r="M43" s="52" t="s">
        <v>405</v>
      </c>
      <c r="P43" s="57">
        <f>IF(AG43="5",J43,0)</f>
        <v>0</v>
      </c>
      <c r="R43" s="57">
        <f>IF(AG43="1",H43,0)</f>
        <v>0</v>
      </c>
      <c r="S43" s="57">
        <f>IF(AG43="1",I43,0)</f>
        <v>0</v>
      </c>
      <c r="T43" s="57">
        <f>IF(AG43="7",H43,0)</f>
        <v>0</v>
      </c>
      <c r="U43" s="57">
        <f>IF(AG43="7",I43,0)</f>
        <v>0</v>
      </c>
      <c r="V43" s="57">
        <f>IF(AG43="2",H43,0)</f>
        <v>0</v>
      </c>
      <c r="W43" s="57">
        <f>IF(AG43="2",I43,0)</f>
        <v>0</v>
      </c>
      <c r="X43" s="57">
        <f>IF(AG43="0",J43,0)</f>
        <v>0</v>
      </c>
      <c r="Y43" s="46"/>
      <c r="Z43" s="31">
        <f>IF(AD43=0,J43,0)</f>
        <v>0</v>
      </c>
      <c r="AA43" s="31">
        <f>IF(AD43=15,J43,0)</f>
        <v>0</v>
      </c>
      <c r="AB43" s="31">
        <f>IF(AD43=21,J43,0)</f>
        <v>0</v>
      </c>
      <c r="AD43" s="57">
        <v>21</v>
      </c>
      <c r="AE43" s="57">
        <f>G43*0</f>
        <v>0</v>
      </c>
      <c r="AF43" s="57">
        <f>G43*(1-0)</f>
        <v>0</v>
      </c>
      <c r="AG43" s="52" t="s">
        <v>13</v>
      </c>
      <c r="AM43" s="57">
        <f>F43*AE43</f>
        <v>0</v>
      </c>
      <c r="AN43" s="57">
        <f>F43*AF43</f>
        <v>0</v>
      </c>
      <c r="AO43" s="58" t="s">
        <v>418</v>
      </c>
      <c r="AP43" s="58" t="s">
        <v>430</v>
      </c>
      <c r="AQ43" s="46" t="s">
        <v>434</v>
      </c>
      <c r="AS43" s="57">
        <f>AM43+AN43</f>
        <v>0</v>
      </c>
      <c r="AT43" s="57">
        <f>G43/(100-AU43)*100</f>
        <v>0</v>
      </c>
      <c r="AU43" s="57">
        <v>0</v>
      </c>
      <c r="AV43" s="57">
        <f>L43</f>
        <v>2.7303599999999997</v>
      </c>
    </row>
    <row r="44" spans="1:48" ht="12.75">
      <c r="A44" s="10" t="s">
        <v>35</v>
      </c>
      <c r="B44" s="10"/>
      <c r="C44" s="10" t="s">
        <v>153</v>
      </c>
      <c r="D44" s="10" t="s">
        <v>282</v>
      </c>
      <c r="E44" s="10" t="s">
        <v>376</v>
      </c>
      <c r="F44" s="31">
        <v>46</v>
      </c>
      <c r="G44" s="31">
        <v>0</v>
      </c>
      <c r="H44" s="31">
        <f>F44*AE44</f>
        <v>0</v>
      </c>
      <c r="I44" s="31">
        <f>J44-H44</f>
        <v>0</v>
      </c>
      <c r="J44" s="31">
        <f>F44*G44</f>
        <v>0</v>
      </c>
      <c r="K44" s="31">
        <v>0.03065</v>
      </c>
      <c r="L44" s="31">
        <f>F44*K44</f>
        <v>1.4099</v>
      </c>
      <c r="M44" s="52" t="s">
        <v>405</v>
      </c>
      <c r="P44" s="57">
        <f>IF(AG44="5",J44,0)</f>
        <v>0</v>
      </c>
      <c r="R44" s="57">
        <f>IF(AG44="1",H44,0)</f>
        <v>0</v>
      </c>
      <c r="S44" s="57">
        <f>IF(AG44="1",I44,0)</f>
        <v>0</v>
      </c>
      <c r="T44" s="57">
        <f>IF(AG44="7",H44,0)</f>
        <v>0</v>
      </c>
      <c r="U44" s="57">
        <f>IF(AG44="7",I44,0)</f>
        <v>0</v>
      </c>
      <c r="V44" s="57">
        <f>IF(AG44="2",H44,0)</f>
        <v>0</v>
      </c>
      <c r="W44" s="57">
        <f>IF(AG44="2",I44,0)</f>
        <v>0</v>
      </c>
      <c r="X44" s="57">
        <f>IF(AG44="0",J44,0)</f>
        <v>0</v>
      </c>
      <c r="Y44" s="46"/>
      <c r="Z44" s="31">
        <f>IF(AD44=0,J44,0)</f>
        <v>0</v>
      </c>
      <c r="AA44" s="31">
        <f>IF(AD44=15,J44,0)</f>
        <v>0</v>
      </c>
      <c r="AB44" s="31">
        <f>IF(AD44=21,J44,0)</f>
        <v>0</v>
      </c>
      <c r="AD44" s="57">
        <v>21</v>
      </c>
      <c r="AE44" s="57">
        <f>G44*0</f>
        <v>0</v>
      </c>
      <c r="AF44" s="57">
        <f>G44*(1-0)</f>
        <v>0</v>
      </c>
      <c r="AG44" s="52" t="s">
        <v>13</v>
      </c>
      <c r="AM44" s="57">
        <f>F44*AE44</f>
        <v>0</v>
      </c>
      <c r="AN44" s="57">
        <f>F44*AF44</f>
        <v>0</v>
      </c>
      <c r="AO44" s="58" t="s">
        <v>418</v>
      </c>
      <c r="AP44" s="58" t="s">
        <v>430</v>
      </c>
      <c r="AQ44" s="46" t="s">
        <v>434</v>
      </c>
      <c r="AS44" s="57">
        <f>AM44+AN44</f>
        <v>0</v>
      </c>
      <c r="AT44" s="57">
        <f>G44/(100-AU44)*100</f>
        <v>0</v>
      </c>
      <c r="AU44" s="57">
        <v>0</v>
      </c>
      <c r="AV44" s="57">
        <f>L44</f>
        <v>1.4099</v>
      </c>
    </row>
    <row r="45" spans="1:37" ht="12.75">
      <c r="A45" s="11"/>
      <c r="B45" s="24"/>
      <c r="C45" s="24" t="s">
        <v>154</v>
      </c>
      <c r="D45" s="24" t="s">
        <v>283</v>
      </c>
      <c r="E45" s="11" t="s">
        <v>6</v>
      </c>
      <c r="F45" s="11" t="s">
        <v>6</v>
      </c>
      <c r="G45" s="11" t="s">
        <v>6</v>
      </c>
      <c r="H45" s="60">
        <f>SUM(H46:H85)</f>
        <v>0</v>
      </c>
      <c r="I45" s="60">
        <f>SUM(I46:I85)</f>
        <v>0</v>
      </c>
      <c r="J45" s="60">
        <f>H45+I45</f>
        <v>0</v>
      </c>
      <c r="K45" s="46"/>
      <c r="L45" s="60">
        <f>SUM(L46:L85)</f>
        <v>5.37435</v>
      </c>
      <c r="M45" s="46"/>
      <c r="Y45" s="46"/>
      <c r="AI45" s="60">
        <f>SUM(Z46:Z85)</f>
        <v>0</v>
      </c>
      <c r="AJ45" s="60">
        <f>SUM(AA46:AA85)</f>
        <v>0</v>
      </c>
      <c r="AK45" s="60">
        <f>SUM(AB46:AB85)</f>
        <v>0</v>
      </c>
    </row>
    <row r="46" spans="1:48" ht="12.75">
      <c r="A46" s="10" t="s">
        <v>36</v>
      </c>
      <c r="B46" s="10"/>
      <c r="C46" s="10" t="s">
        <v>155</v>
      </c>
      <c r="D46" s="10" t="s">
        <v>284</v>
      </c>
      <c r="E46" s="10" t="s">
        <v>376</v>
      </c>
      <c r="F46" s="31">
        <v>67</v>
      </c>
      <c r="G46" s="31">
        <v>0</v>
      </c>
      <c r="H46" s="31">
        <f>F46*AE46</f>
        <v>0</v>
      </c>
      <c r="I46" s="31">
        <f>J46-H46</f>
        <v>0</v>
      </c>
      <c r="J46" s="31">
        <f>F46*G46</f>
        <v>0</v>
      </c>
      <c r="K46" s="31">
        <v>0.00399</v>
      </c>
      <c r="L46" s="31">
        <f>F46*K46</f>
        <v>0.26732999999999996</v>
      </c>
      <c r="M46" s="52" t="s">
        <v>405</v>
      </c>
      <c r="P46" s="57">
        <f>IF(AG46="5",J46,0)</f>
        <v>0</v>
      </c>
      <c r="R46" s="57">
        <f>IF(AG46="1",H46,0)</f>
        <v>0</v>
      </c>
      <c r="S46" s="57">
        <f>IF(AG46="1",I46,0)</f>
        <v>0</v>
      </c>
      <c r="T46" s="57">
        <f>IF(AG46="7",H46,0)</f>
        <v>0</v>
      </c>
      <c r="U46" s="57">
        <f>IF(AG46="7",I46,0)</f>
        <v>0</v>
      </c>
      <c r="V46" s="57">
        <f>IF(AG46="2",H46,0)</f>
        <v>0</v>
      </c>
      <c r="W46" s="57">
        <f>IF(AG46="2",I46,0)</f>
        <v>0</v>
      </c>
      <c r="X46" s="57">
        <f>IF(AG46="0",J46,0)</f>
        <v>0</v>
      </c>
      <c r="Y46" s="46"/>
      <c r="Z46" s="31">
        <f>IF(AD46=0,J46,0)</f>
        <v>0</v>
      </c>
      <c r="AA46" s="31">
        <f>IF(AD46=15,J46,0)</f>
        <v>0</v>
      </c>
      <c r="AB46" s="31">
        <f>IF(AD46=21,J46,0)</f>
        <v>0</v>
      </c>
      <c r="AD46" s="57">
        <v>21</v>
      </c>
      <c r="AE46" s="57">
        <f>G46*0.217589082638362</f>
        <v>0</v>
      </c>
      <c r="AF46" s="57">
        <f>G46*(1-0.217589082638362)</f>
        <v>0</v>
      </c>
      <c r="AG46" s="52" t="s">
        <v>13</v>
      </c>
      <c r="AM46" s="57">
        <f>F46*AE46</f>
        <v>0</v>
      </c>
      <c r="AN46" s="57">
        <f>F46*AF46</f>
        <v>0</v>
      </c>
      <c r="AO46" s="58" t="s">
        <v>419</v>
      </c>
      <c r="AP46" s="58" t="s">
        <v>430</v>
      </c>
      <c r="AQ46" s="46" t="s">
        <v>434</v>
      </c>
      <c r="AS46" s="57">
        <f>AM46+AN46</f>
        <v>0</v>
      </c>
      <c r="AT46" s="57">
        <f>G46/(100-AU46)*100</f>
        <v>0</v>
      </c>
      <c r="AU46" s="57">
        <v>0</v>
      </c>
      <c r="AV46" s="57">
        <f>L46</f>
        <v>0.26732999999999996</v>
      </c>
    </row>
    <row r="47" spans="1:48" ht="12.75">
      <c r="A47" s="10" t="s">
        <v>37</v>
      </c>
      <c r="B47" s="10"/>
      <c r="C47" s="10" t="s">
        <v>156</v>
      </c>
      <c r="D47" s="10" t="s">
        <v>285</v>
      </c>
      <c r="E47" s="10" t="s">
        <v>376</v>
      </c>
      <c r="F47" s="31">
        <v>50</v>
      </c>
      <c r="G47" s="31">
        <v>0</v>
      </c>
      <c r="H47" s="31">
        <f>F47*AE47</f>
        <v>0</v>
      </c>
      <c r="I47" s="31">
        <f>J47-H47</f>
        <v>0</v>
      </c>
      <c r="J47" s="31">
        <f>F47*G47</f>
        <v>0</v>
      </c>
      <c r="K47" s="31">
        <v>0.00518</v>
      </c>
      <c r="L47" s="31">
        <f>F47*K47</f>
        <v>0.259</v>
      </c>
      <c r="M47" s="52" t="s">
        <v>405</v>
      </c>
      <c r="P47" s="57">
        <f>IF(AG47="5",J47,0)</f>
        <v>0</v>
      </c>
      <c r="R47" s="57">
        <f>IF(AG47="1",H47,0)</f>
        <v>0</v>
      </c>
      <c r="S47" s="57">
        <f>IF(AG47="1",I47,0)</f>
        <v>0</v>
      </c>
      <c r="T47" s="57">
        <f>IF(AG47="7",H47,0)</f>
        <v>0</v>
      </c>
      <c r="U47" s="57">
        <f>IF(AG47="7",I47,0)</f>
        <v>0</v>
      </c>
      <c r="V47" s="57">
        <f>IF(AG47="2",H47,0)</f>
        <v>0</v>
      </c>
      <c r="W47" s="57">
        <f>IF(AG47="2",I47,0)</f>
        <v>0</v>
      </c>
      <c r="X47" s="57">
        <f>IF(AG47="0",J47,0)</f>
        <v>0</v>
      </c>
      <c r="Y47" s="46"/>
      <c r="Z47" s="31">
        <f>IF(AD47=0,J47,0)</f>
        <v>0</v>
      </c>
      <c r="AA47" s="31">
        <f>IF(AD47=15,J47,0)</f>
        <v>0</v>
      </c>
      <c r="AB47" s="31">
        <f>IF(AD47=21,J47,0)</f>
        <v>0</v>
      </c>
      <c r="AD47" s="57">
        <v>21</v>
      </c>
      <c r="AE47" s="57">
        <f>G47*0.241586932546425</f>
        <v>0</v>
      </c>
      <c r="AF47" s="57">
        <f>G47*(1-0.241586932546425)</f>
        <v>0</v>
      </c>
      <c r="AG47" s="52" t="s">
        <v>13</v>
      </c>
      <c r="AM47" s="57">
        <f>F47*AE47</f>
        <v>0</v>
      </c>
      <c r="AN47" s="57">
        <f>F47*AF47</f>
        <v>0</v>
      </c>
      <c r="AO47" s="58" t="s">
        <v>419</v>
      </c>
      <c r="AP47" s="58" t="s">
        <v>430</v>
      </c>
      <c r="AQ47" s="46" t="s">
        <v>434</v>
      </c>
      <c r="AS47" s="57">
        <f>AM47+AN47</f>
        <v>0</v>
      </c>
      <c r="AT47" s="57">
        <f>G47/(100-AU47)*100</f>
        <v>0</v>
      </c>
      <c r="AU47" s="57">
        <v>0</v>
      </c>
      <c r="AV47" s="57">
        <f>L47</f>
        <v>0.259</v>
      </c>
    </row>
    <row r="48" spans="1:48" ht="12.75">
      <c r="A48" s="10" t="s">
        <v>38</v>
      </c>
      <c r="B48" s="10"/>
      <c r="C48" s="10" t="s">
        <v>157</v>
      </c>
      <c r="D48" s="10" t="s">
        <v>286</v>
      </c>
      <c r="E48" s="10" t="s">
        <v>376</v>
      </c>
      <c r="F48" s="31">
        <v>50.5</v>
      </c>
      <c r="G48" s="31">
        <v>0</v>
      </c>
      <c r="H48" s="31">
        <f>F48*AE48</f>
        <v>0</v>
      </c>
      <c r="I48" s="31">
        <f>J48-H48</f>
        <v>0</v>
      </c>
      <c r="J48" s="31">
        <f>F48*G48</f>
        <v>0</v>
      </c>
      <c r="K48" s="31">
        <v>0.00535</v>
      </c>
      <c r="L48" s="31">
        <f>F48*K48</f>
        <v>0.270175</v>
      </c>
      <c r="M48" s="52" t="s">
        <v>405</v>
      </c>
      <c r="P48" s="57">
        <f>IF(AG48="5",J48,0)</f>
        <v>0</v>
      </c>
      <c r="R48" s="57">
        <f>IF(AG48="1",H48,0)</f>
        <v>0</v>
      </c>
      <c r="S48" s="57">
        <f>IF(AG48="1",I48,0)</f>
        <v>0</v>
      </c>
      <c r="T48" s="57">
        <f>IF(AG48="7",H48,0)</f>
        <v>0</v>
      </c>
      <c r="U48" s="57">
        <f>IF(AG48="7",I48,0)</f>
        <v>0</v>
      </c>
      <c r="V48" s="57">
        <f>IF(AG48="2",H48,0)</f>
        <v>0</v>
      </c>
      <c r="W48" s="57">
        <f>IF(AG48="2",I48,0)</f>
        <v>0</v>
      </c>
      <c r="X48" s="57">
        <f>IF(AG48="0",J48,0)</f>
        <v>0</v>
      </c>
      <c r="Y48" s="46"/>
      <c r="Z48" s="31">
        <f>IF(AD48=0,J48,0)</f>
        <v>0</v>
      </c>
      <c r="AA48" s="31">
        <f>IF(AD48=15,J48,0)</f>
        <v>0</v>
      </c>
      <c r="AB48" s="31">
        <f>IF(AD48=21,J48,0)</f>
        <v>0</v>
      </c>
      <c r="AD48" s="57">
        <v>21</v>
      </c>
      <c r="AE48" s="57">
        <f>G48*0.317673267326733</f>
        <v>0</v>
      </c>
      <c r="AF48" s="57">
        <f>G48*(1-0.317673267326733)</f>
        <v>0</v>
      </c>
      <c r="AG48" s="52" t="s">
        <v>13</v>
      </c>
      <c r="AM48" s="57">
        <f>F48*AE48</f>
        <v>0</v>
      </c>
      <c r="AN48" s="57">
        <f>F48*AF48</f>
        <v>0</v>
      </c>
      <c r="AO48" s="58" t="s">
        <v>419</v>
      </c>
      <c r="AP48" s="58" t="s">
        <v>430</v>
      </c>
      <c r="AQ48" s="46" t="s">
        <v>434</v>
      </c>
      <c r="AS48" s="57">
        <f>AM48+AN48</f>
        <v>0</v>
      </c>
      <c r="AT48" s="57">
        <f>G48/(100-AU48)*100</f>
        <v>0</v>
      </c>
      <c r="AU48" s="57">
        <v>0</v>
      </c>
      <c r="AV48" s="57">
        <f>L48</f>
        <v>0.270175</v>
      </c>
    </row>
    <row r="49" spans="1:48" ht="12.75">
      <c r="A49" s="10" t="s">
        <v>39</v>
      </c>
      <c r="B49" s="10"/>
      <c r="C49" s="10" t="s">
        <v>158</v>
      </c>
      <c r="D49" s="10" t="s">
        <v>287</v>
      </c>
      <c r="E49" s="10" t="s">
        <v>376</v>
      </c>
      <c r="F49" s="31">
        <v>28</v>
      </c>
      <c r="G49" s="31">
        <v>0</v>
      </c>
      <c r="H49" s="31">
        <f>F49*AE49</f>
        <v>0</v>
      </c>
      <c r="I49" s="31">
        <f>J49-H49</f>
        <v>0</v>
      </c>
      <c r="J49" s="31">
        <f>F49*G49</f>
        <v>0</v>
      </c>
      <c r="K49" s="31">
        <v>0.00563</v>
      </c>
      <c r="L49" s="31">
        <f>F49*K49</f>
        <v>0.15764</v>
      </c>
      <c r="M49" s="52" t="s">
        <v>405</v>
      </c>
      <c r="P49" s="57">
        <f>IF(AG49="5",J49,0)</f>
        <v>0</v>
      </c>
      <c r="R49" s="57">
        <f>IF(AG49="1",H49,0)</f>
        <v>0</v>
      </c>
      <c r="S49" s="57">
        <f>IF(AG49="1",I49,0)</f>
        <v>0</v>
      </c>
      <c r="T49" s="57">
        <f>IF(AG49="7",H49,0)</f>
        <v>0</v>
      </c>
      <c r="U49" s="57">
        <f>IF(AG49="7",I49,0)</f>
        <v>0</v>
      </c>
      <c r="V49" s="57">
        <f>IF(AG49="2",H49,0)</f>
        <v>0</v>
      </c>
      <c r="W49" s="57">
        <f>IF(AG49="2",I49,0)</f>
        <v>0</v>
      </c>
      <c r="X49" s="57">
        <f>IF(AG49="0",J49,0)</f>
        <v>0</v>
      </c>
      <c r="Y49" s="46"/>
      <c r="Z49" s="31">
        <f>IF(AD49=0,J49,0)</f>
        <v>0</v>
      </c>
      <c r="AA49" s="31">
        <f>IF(AD49=15,J49,0)</f>
        <v>0</v>
      </c>
      <c r="AB49" s="31">
        <f>IF(AD49=21,J49,0)</f>
        <v>0</v>
      </c>
      <c r="AD49" s="57">
        <v>21</v>
      </c>
      <c r="AE49" s="57">
        <f>G49*0.435573770491803</f>
        <v>0</v>
      </c>
      <c r="AF49" s="57">
        <f>G49*(1-0.435573770491803)</f>
        <v>0</v>
      </c>
      <c r="AG49" s="52" t="s">
        <v>13</v>
      </c>
      <c r="AM49" s="57">
        <f>F49*AE49</f>
        <v>0</v>
      </c>
      <c r="AN49" s="57">
        <f>F49*AF49</f>
        <v>0</v>
      </c>
      <c r="AO49" s="58" t="s">
        <v>419</v>
      </c>
      <c r="AP49" s="58" t="s">
        <v>430</v>
      </c>
      <c r="AQ49" s="46" t="s">
        <v>434</v>
      </c>
      <c r="AS49" s="57">
        <f>AM49+AN49</f>
        <v>0</v>
      </c>
      <c r="AT49" s="57">
        <f>G49/(100-AU49)*100</f>
        <v>0</v>
      </c>
      <c r="AU49" s="57">
        <v>0</v>
      </c>
      <c r="AV49" s="57">
        <f>L49</f>
        <v>0.15764</v>
      </c>
    </row>
    <row r="50" spans="1:48" ht="12.75">
      <c r="A50" s="10" t="s">
        <v>40</v>
      </c>
      <c r="B50" s="10"/>
      <c r="C50" s="10" t="s">
        <v>159</v>
      </c>
      <c r="D50" s="10" t="s">
        <v>288</v>
      </c>
      <c r="E50" s="10" t="s">
        <v>376</v>
      </c>
      <c r="F50" s="31">
        <v>26</v>
      </c>
      <c r="G50" s="31">
        <v>0</v>
      </c>
      <c r="H50" s="31">
        <f>F50*AE50</f>
        <v>0</v>
      </c>
      <c r="I50" s="31">
        <f>J50-H50</f>
        <v>0</v>
      </c>
      <c r="J50" s="31">
        <f>F50*G50</f>
        <v>0</v>
      </c>
      <c r="K50" s="31">
        <v>0.00594</v>
      </c>
      <c r="L50" s="31">
        <f>F50*K50</f>
        <v>0.15444</v>
      </c>
      <c r="M50" s="52" t="s">
        <v>405</v>
      </c>
      <c r="P50" s="57">
        <f>IF(AG50="5",J50,0)</f>
        <v>0</v>
      </c>
      <c r="R50" s="57">
        <f>IF(AG50="1",H50,0)</f>
        <v>0</v>
      </c>
      <c r="S50" s="57">
        <f>IF(AG50="1",I50,0)</f>
        <v>0</v>
      </c>
      <c r="T50" s="57">
        <f>IF(AG50="7",H50,0)</f>
        <v>0</v>
      </c>
      <c r="U50" s="57">
        <f>IF(AG50="7",I50,0)</f>
        <v>0</v>
      </c>
      <c r="V50" s="57">
        <f>IF(AG50="2",H50,0)</f>
        <v>0</v>
      </c>
      <c r="W50" s="57">
        <f>IF(AG50="2",I50,0)</f>
        <v>0</v>
      </c>
      <c r="X50" s="57">
        <f>IF(AG50="0",J50,0)</f>
        <v>0</v>
      </c>
      <c r="Y50" s="46"/>
      <c r="Z50" s="31">
        <f>IF(AD50=0,J50,0)</f>
        <v>0</v>
      </c>
      <c r="AA50" s="31">
        <f>IF(AD50=15,J50,0)</f>
        <v>0</v>
      </c>
      <c r="AB50" s="31">
        <f>IF(AD50=21,J50,0)</f>
        <v>0</v>
      </c>
      <c r="AD50" s="57">
        <v>21</v>
      </c>
      <c r="AE50" s="57">
        <f>G50*0.397413793103448</f>
        <v>0</v>
      </c>
      <c r="AF50" s="57">
        <f>G50*(1-0.397413793103448)</f>
        <v>0</v>
      </c>
      <c r="AG50" s="52" t="s">
        <v>13</v>
      </c>
      <c r="AM50" s="57">
        <f>F50*AE50</f>
        <v>0</v>
      </c>
      <c r="AN50" s="57">
        <f>F50*AF50</f>
        <v>0</v>
      </c>
      <c r="AO50" s="58" t="s">
        <v>419</v>
      </c>
      <c r="AP50" s="58" t="s">
        <v>430</v>
      </c>
      <c r="AQ50" s="46" t="s">
        <v>434</v>
      </c>
      <c r="AS50" s="57">
        <f>AM50+AN50</f>
        <v>0</v>
      </c>
      <c r="AT50" s="57">
        <f>G50/(100-AU50)*100</f>
        <v>0</v>
      </c>
      <c r="AU50" s="57">
        <v>0</v>
      </c>
      <c r="AV50" s="57">
        <f>L50</f>
        <v>0.15444</v>
      </c>
    </row>
    <row r="51" spans="1:48" ht="12.75">
      <c r="A51" s="10" t="s">
        <v>41</v>
      </c>
      <c r="B51" s="10"/>
      <c r="C51" s="10" t="s">
        <v>160</v>
      </c>
      <c r="D51" s="10" t="s">
        <v>289</v>
      </c>
      <c r="E51" s="10" t="s">
        <v>376</v>
      </c>
      <c r="F51" s="31">
        <v>105.5</v>
      </c>
      <c r="G51" s="31">
        <v>0</v>
      </c>
      <c r="H51" s="31">
        <f>F51*AE51</f>
        <v>0</v>
      </c>
      <c r="I51" s="31">
        <f>J51-H51</f>
        <v>0</v>
      </c>
      <c r="J51" s="31">
        <f>F51*G51</f>
        <v>0</v>
      </c>
      <c r="K51" s="31">
        <v>0.00401</v>
      </c>
      <c r="L51" s="31">
        <f>F51*K51</f>
        <v>0.42305499999999996</v>
      </c>
      <c r="M51" s="52" t="s">
        <v>405</v>
      </c>
      <c r="P51" s="57">
        <f>IF(AG51="5",J51,0)</f>
        <v>0</v>
      </c>
      <c r="R51" s="57">
        <f>IF(AG51="1",H51,0)</f>
        <v>0</v>
      </c>
      <c r="S51" s="57">
        <f>IF(AG51="1",I51,0)</f>
        <v>0</v>
      </c>
      <c r="T51" s="57">
        <f>IF(AG51="7",H51,0)</f>
        <v>0</v>
      </c>
      <c r="U51" s="57">
        <f>IF(AG51="7",I51,0)</f>
        <v>0</v>
      </c>
      <c r="V51" s="57">
        <f>IF(AG51="2",H51,0)</f>
        <v>0</v>
      </c>
      <c r="W51" s="57">
        <f>IF(AG51="2",I51,0)</f>
        <v>0</v>
      </c>
      <c r="X51" s="57">
        <f>IF(AG51="0",J51,0)</f>
        <v>0</v>
      </c>
      <c r="Y51" s="46"/>
      <c r="Z51" s="31">
        <f>IF(AD51=0,J51,0)</f>
        <v>0</v>
      </c>
      <c r="AA51" s="31">
        <f>IF(AD51=15,J51,0)</f>
        <v>0</v>
      </c>
      <c r="AB51" s="31">
        <f>IF(AD51=21,J51,0)</f>
        <v>0</v>
      </c>
      <c r="AD51" s="57">
        <v>21</v>
      </c>
      <c r="AE51" s="57">
        <f>G51*0.230416672278868</f>
        <v>0</v>
      </c>
      <c r="AF51" s="57">
        <f>G51*(1-0.230416672278868)</f>
        <v>0</v>
      </c>
      <c r="AG51" s="52" t="s">
        <v>13</v>
      </c>
      <c r="AM51" s="57">
        <f>F51*AE51</f>
        <v>0</v>
      </c>
      <c r="AN51" s="57">
        <f>F51*AF51</f>
        <v>0</v>
      </c>
      <c r="AO51" s="58" t="s">
        <v>419</v>
      </c>
      <c r="AP51" s="58" t="s">
        <v>430</v>
      </c>
      <c r="AQ51" s="46" t="s">
        <v>434</v>
      </c>
      <c r="AS51" s="57">
        <f>AM51+AN51</f>
        <v>0</v>
      </c>
      <c r="AT51" s="57">
        <f>G51/(100-AU51)*100</f>
        <v>0</v>
      </c>
      <c r="AU51" s="57">
        <v>0</v>
      </c>
      <c r="AV51" s="57">
        <f>L51</f>
        <v>0.42305499999999996</v>
      </c>
    </row>
    <row r="52" spans="1:48" ht="12.75">
      <c r="A52" s="10" t="s">
        <v>42</v>
      </c>
      <c r="B52" s="10"/>
      <c r="C52" s="10" t="s">
        <v>161</v>
      </c>
      <c r="D52" s="10" t="s">
        <v>290</v>
      </c>
      <c r="E52" s="10" t="s">
        <v>376</v>
      </c>
      <c r="F52" s="31">
        <v>43</v>
      </c>
      <c r="G52" s="31">
        <v>0</v>
      </c>
      <c r="H52" s="31">
        <f>F52*AE52</f>
        <v>0</v>
      </c>
      <c r="I52" s="31">
        <f>J52-H52</f>
        <v>0</v>
      </c>
      <c r="J52" s="31">
        <f>F52*G52</f>
        <v>0</v>
      </c>
      <c r="K52" s="31">
        <v>0.00522</v>
      </c>
      <c r="L52" s="31">
        <f>F52*K52</f>
        <v>0.22446</v>
      </c>
      <c r="M52" s="52" t="s">
        <v>405</v>
      </c>
      <c r="P52" s="57">
        <f>IF(AG52="5",J52,0)</f>
        <v>0</v>
      </c>
      <c r="R52" s="57">
        <f>IF(AG52="1",H52,0)</f>
        <v>0</v>
      </c>
      <c r="S52" s="57">
        <f>IF(AG52="1",I52,0)</f>
        <v>0</v>
      </c>
      <c r="T52" s="57">
        <f>IF(AG52="7",H52,0)</f>
        <v>0</v>
      </c>
      <c r="U52" s="57">
        <f>IF(AG52="7",I52,0)</f>
        <v>0</v>
      </c>
      <c r="V52" s="57">
        <f>IF(AG52="2",H52,0)</f>
        <v>0</v>
      </c>
      <c r="W52" s="57">
        <f>IF(AG52="2",I52,0)</f>
        <v>0</v>
      </c>
      <c r="X52" s="57">
        <f>IF(AG52="0",J52,0)</f>
        <v>0</v>
      </c>
      <c r="Y52" s="46"/>
      <c r="Z52" s="31">
        <f>IF(AD52=0,J52,0)</f>
        <v>0</v>
      </c>
      <c r="AA52" s="31">
        <f>IF(AD52=15,J52,0)</f>
        <v>0</v>
      </c>
      <c r="AB52" s="31">
        <f>IF(AD52=21,J52,0)</f>
        <v>0</v>
      </c>
      <c r="AD52" s="57">
        <v>21</v>
      </c>
      <c r="AE52" s="57">
        <f>G52*0.257058600251102</f>
        <v>0</v>
      </c>
      <c r="AF52" s="57">
        <f>G52*(1-0.257058600251102)</f>
        <v>0</v>
      </c>
      <c r="AG52" s="52" t="s">
        <v>13</v>
      </c>
      <c r="AM52" s="57">
        <f>F52*AE52</f>
        <v>0</v>
      </c>
      <c r="AN52" s="57">
        <f>F52*AF52</f>
        <v>0</v>
      </c>
      <c r="AO52" s="58" t="s">
        <v>419</v>
      </c>
      <c r="AP52" s="58" t="s">
        <v>430</v>
      </c>
      <c r="AQ52" s="46" t="s">
        <v>434</v>
      </c>
      <c r="AS52" s="57">
        <f>AM52+AN52</f>
        <v>0</v>
      </c>
      <c r="AT52" s="57">
        <f>G52/(100-AU52)*100</f>
        <v>0</v>
      </c>
      <c r="AU52" s="57">
        <v>0</v>
      </c>
      <c r="AV52" s="57">
        <f>L52</f>
        <v>0.22446</v>
      </c>
    </row>
    <row r="53" spans="1:48" ht="12.75">
      <c r="A53" s="10" t="s">
        <v>43</v>
      </c>
      <c r="B53" s="10"/>
      <c r="C53" s="10" t="s">
        <v>162</v>
      </c>
      <c r="D53" s="10" t="s">
        <v>291</v>
      </c>
      <c r="E53" s="10" t="s">
        <v>376</v>
      </c>
      <c r="F53" s="31">
        <v>31</v>
      </c>
      <c r="G53" s="31">
        <v>0</v>
      </c>
      <c r="H53" s="31">
        <f>F53*AE53</f>
        <v>0</v>
      </c>
      <c r="I53" s="31">
        <f>J53-H53</f>
        <v>0</v>
      </c>
      <c r="J53" s="31">
        <f>F53*G53</f>
        <v>0</v>
      </c>
      <c r="K53" s="31">
        <v>0.00541</v>
      </c>
      <c r="L53" s="31">
        <f>F53*K53</f>
        <v>0.16771</v>
      </c>
      <c r="M53" s="52" t="s">
        <v>405</v>
      </c>
      <c r="P53" s="57">
        <f>IF(AG53="5",J53,0)</f>
        <v>0</v>
      </c>
      <c r="R53" s="57">
        <f>IF(AG53="1",H53,0)</f>
        <v>0</v>
      </c>
      <c r="S53" s="57">
        <f>IF(AG53="1",I53,0)</f>
        <v>0</v>
      </c>
      <c r="T53" s="57">
        <f>IF(AG53="7",H53,0)</f>
        <v>0</v>
      </c>
      <c r="U53" s="57">
        <f>IF(AG53="7",I53,0)</f>
        <v>0</v>
      </c>
      <c r="V53" s="57">
        <f>IF(AG53="2",H53,0)</f>
        <v>0</v>
      </c>
      <c r="W53" s="57">
        <f>IF(AG53="2",I53,0)</f>
        <v>0</v>
      </c>
      <c r="X53" s="57">
        <f>IF(AG53="0",J53,0)</f>
        <v>0</v>
      </c>
      <c r="Y53" s="46"/>
      <c r="Z53" s="31">
        <f>IF(AD53=0,J53,0)</f>
        <v>0</v>
      </c>
      <c r="AA53" s="31">
        <f>IF(AD53=15,J53,0)</f>
        <v>0</v>
      </c>
      <c r="AB53" s="31">
        <f>IF(AD53=21,J53,0)</f>
        <v>0</v>
      </c>
      <c r="AD53" s="57">
        <v>21</v>
      </c>
      <c r="AE53" s="57">
        <f>G53*0.334154589371981</f>
        <v>0</v>
      </c>
      <c r="AF53" s="57">
        <f>G53*(1-0.334154589371981)</f>
        <v>0</v>
      </c>
      <c r="AG53" s="52" t="s">
        <v>13</v>
      </c>
      <c r="AM53" s="57">
        <f>F53*AE53</f>
        <v>0</v>
      </c>
      <c r="AN53" s="57">
        <f>F53*AF53</f>
        <v>0</v>
      </c>
      <c r="AO53" s="58" t="s">
        <v>419</v>
      </c>
      <c r="AP53" s="58" t="s">
        <v>430</v>
      </c>
      <c r="AQ53" s="46" t="s">
        <v>434</v>
      </c>
      <c r="AS53" s="57">
        <f>AM53+AN53</f>
        <v>0</v>
      </c>
      <c r="AT53" s="57">
        <f>G53/(100-AU53)*100</f>
        <v>0</v>
      </c>
      <c r="AU53" s="57">
        <v>0</v>
      </c>
      <c r="AV53" s="57">
        <f>L53</f>
        <v>0.16771</v>
      </c>
    </row>
    <row r="54" spans="1:48" ht="12.75">
      <c r="A54" s="10" t="s">
        <v>44</v>
      </c>
      <c r="B54" s="10"/>
      <c r="C54" s="10" t="s">
        <v>163</v>
      </c>
      <c r="D54" s="10" t="s">
        <v>292</v>
      </c>
      <c r="E54" s="10" t="s">
        <v>376</v>
      </c>
      <c r="F54" s="31">
        <v>37</v>
      </c>
      <c r="G54" s="31">
        <v>0</v>
      </c>
      <c r="H54" s="31">
        <f>F54*AE54</f>
        <v>0</v>
      </c>
      <c r="I54" s="31">
        <f>J54-H54</f>
        <v>0</v>
      </c>
      <c r="J54" s="31">
        <f>F54*G54</f>
        <v>0</v>
      </c>
      <c r="K54" s="31">
        <v>0.00573</v>
      </c>
      <c r="L54" s="31">
        <f>F54*K54</f>
        <v>0.21201</v>
      </c>
      <c r="M54" s="52" t="s">
        <v>405</v>
      </c>
      <c r="P54" s="57">
        <f>IF(AG54="5",J54,0)</f>
        <v>0</v>
      </c>
      <c r="R54" s="57">
        <f>IF(AG54="1",H54,0)</f>
        <v>0</v>
      </c>
      <c r="S54" s="57">
        <f>IF(AG54="1",I54,0)</f>
        <v>0</v>
      </c>
      <c r="T54" s="57">
        <f>IF(AG54="7",H54,0)</f>
        <v>0</v>
      </c>
      <c r="U54" s="57">
        <f>IF(AG54="7",I54,0)</f>
        <v>0</v>
      </c>
      <c r="V54" s="57">
        <f>IF(AG54="2",H54,0)</f>
        <v>0</v>
      </c>
      <c r="W54" s="57">
        <f>IF(AG54="2",I54,0)</f>
        <v>0</v>
      </c>
      <c r="X54" s="57">
        <f>IF(AG54="0",J54,0)</f>
        <v>0</v>
      </c>
      <c r="Y54" s="46"/>
      <c r="Z54" s="31">
        <f>IF(AD54=0,J54,0)</f>
        <v>0</v>
      </c>
      <c r="AA54" s="31">
        <f>IF(AD54=15,J54,0)</f>
        <v>0</v>
      </c>
      <c r="AB54" s="31">
        <f>IF(AD54=21,J54,0)</f>
        <v>0</v>
      </c>
      <c r="AD54" s="57">
        <v>21</v>
      </c>
      <c r="AE54" s="57">
        <f>G54*0.450585106382979</f>
        <v>0</v>
      </c>
      <c r="AF54" s="57">
        <f>G54*(1-0.450585106382979)</f>
        <v>0</v>
      </c>
      <c r="AG54" s="52" t="s">
        <v>13</v>
      </c>
      <c r="AM54" s="57">
        <f>F54*AE54</f>
        <v>0</v>
      </c>
      <c r="AN54" s="57">
        <f>F54*AF54</f>
        <v>0</v>
      </c>
      <c r="AO54" s="58" t="s">
        <v>419</v>
      </c>
      <c r="AP54" s="58" t="s">
        <v>430</v>
      </c>
      <c r="AQ54" s="46" t="s">
        <v>434</v>
      </c>
      <c r="AS54" s="57">
        <f>AM54+AN54</f>
        <v>0</v>
      </c>
      <c r="AT54" s="57">
        <f>G54/(100-AU54)*100</f>
        <v>0</v>
      </c>
      <c r="AU54" s="57">
        <v>0</v>
      </c>
      <c r="AV54" s="57">
        <f>L54</f>
        <v>0.21201</v>
      </c>
    </row>
    <row r="55" spans="1:48" ht="12.75">
      <c r="A55" s="10" t="s">
        <v>45</v>
      </c>
      <c r="B55" s="10"/>
      <c r="C55" s="10" t="s">
        <v>164</v>
      </c>
      <c r="D55" s="10" t="s">
        <v>293</v>
      </c>
      <c r="E55" s="10" t="s">
        <v>376</v>
      </c>
      <c r="F55" s="31">
        <v>18</v>
      </c>
      <c r="G55" s="31">
        <v>0</v>
      </c>
      <c r="H55" s="31">
        <f>F55*AE55</f>
        <v>0</v>
      </c>
      <c r="I55" s="31">
        <f>J55-H55</f>
        <v>0</v>
      </c>
      <c r="J55" s="31">
        <f>F55*G55</f>
        <v>0</v>
      </c>
      <c r="K55" s="31">
        <v>0.0068</v>
      </c>
      <c r="L55" s="31">
        <f>F55*K55</f>
        <v>0.1224</v>
      </c>
      <c r="M55" s="52" t="s">
        <v>405</v>
      </c>
      <c r="P55" s="57">
        <f>IF(AG55="5",J55,0)</f>
        <v>0</v>
      </c>
      <c r="R55" s="57">
        <f>IF(AG55="1",H55,0)</f>
        <v>0</v>
      </c>
      <c r="S55" s="57">
        <f>IF(AG55="1",I55,0)</f>
        <v>0</v>
      </c>
      <c r="T55" s="57">
        <f>IF(AG55="7",H55,0)</f>
        <v>0</v>
      </c>
      <c r="U55" s="57">
        <f>IF(AG55="7",I55,0)</f>
        <v>0</v>
      </c>
      <c r="V55" s="57">
        <f>IF(AG55="2",H55,0)</f>
        <v>0</v>
      </c>
      <c r="W55" s="57">
        <f>IF(AG55="2",I55,0)</f>
        <v>0</v>
      </c>
      <c r="X55" s="57">
        <f>IF(AG55="0",J55,0)</f>
        <v>0</v>
      </c>
      <c r="Y55" s="46"/>
      <c r="Z55" s="31">
        <f>IF(AD55=0,J55,0)</f>
        <v>0</v>
      </c>
      <c r="AA55" s="31">
        <f>IF(AD55=15,J55,0)</f>
        <v>0</v>
      </c>
      <c r="AB55" s="31">
        <f>IF(AD55=21,J55,0)</f>
        <v>0</v>
      </c>
      <c r="AD55" s="57">
        <v>21</v>
      </c>
      <c r="AE55" s="57">
        <f>G55*0.522183908045977</f>
        <v>0</v>
      </c>
      <c r="AF55" s="57">
        <f>G55*(1-0.522183908045977)</f>
        <v>0</v>
      </c>
      <c r="AG55" s="52" t="s">
        <v>13</v>
      </c>
      <c r="AM55" s="57">
        <f>F55*AE55</f>
        <v>0</v>
      </c>
      <c r="AN55" s="57">
        <f>F55*AF55</f>
        <v>0</v>
      </c>
      <c r="AO55" s="58" t="s">
        <v>419</v>
      </c>
      <c r="AP55" s="58" t="s">
        <v>430</v>
      </c>
      <c r="AQ55" s="46" t="s">
        <v>434</v>
      </c>
      <c r="AS55" s="57">
        <f>AM55+AN55</f>
        <v>0</v>
      </c>
      <c r="AT55" s="57">
        <f>G55/(100-AU55)*100</f>
        <v>0</v>
      </c>
      <c r="AU55" s="57">
        <v>0</v>
      </c>
      <c r="AV55" s="57">
        <f>L55</f>
        <v>0.1224</v>
      </c>
    </row>
    <row r="56" spans="1:48" ht="12.75">
      <c r="A56" s="10" t="s">
        <v>46</v>
      </c>
      <c r="B56" s="10"/>
      <c r="C56" s="10" t="s">
        <v>165</v>
      </c>
      <c r="D56" s="10" t="s">
        <v>294</v>
      </c>
      <c r="E56" s="10" t="s">
        <v>375</v>
      </c>
      <c r="F56" s="31">
        <v>2</v>
      </c>
      <c r="G56" s="31">
        <v>0</v>
      </c>
      <c r="H56" s="31">
        <f>F56*AE56</f>
        <v>0</v>
      </c>
      <c r="I56" s="31">
        <f>J56-H56</f>
        <v>0</v>
      </c>
      <c r="J56" s="31">
        <f>F56*G56</f>
        <v>0</v>
      </c>
      <c r="K56" s="31">
        <v>0</v>
      </c>
      <c r="L56" s="31">
        <f>F56*K56</f>
        <v>0</v>
      </c>
      <c r="M56" s="52" t="s">
        <v>405</v>
      </c>
      <c r="P56" s="57">
        <f>IF(AG56="5",J56,0)</f>
        <v>0</v>
      </c>
      <c r="R56" s="57">
        <f>IF(AG56="1",H56,0)</f>
        <v>0</v>
      </c>
      <c r="S56" s="57">
        <f>IF(AG56="1",I56,0)</f>
        <v>0</v>
      </c>
      <c r="T56" s="57">
        <f>IF(AG56="7",H56,0)</f>
        <v>0</v>
      </c>
      <c r="U56" s="57">
        <f>IF(AG56="7",I56,0)</f>
        <v>0</v>
      </c>
      <c r="V56" s="57">
        <f>IF(AG56="2",H56,0)</f>
        <v>0</v>
      </c>
      <c r="W56" s="57">
        <f>IF(AG56="2",I56,0)</f>
        <v>0</v>
      </c>
      <c r="X56" s="57">
        <f>IF(AG56="0",J56,0)</f>
        <v>0</v>
      </c>
      <c r="Y56" s="46"/>
      <c r="Z56" s="31">
        <f>IF(AD56=0,J56,0)</f>
        <v>0</v>
      </c>
      <c r="AA56" s="31">
        <f>IF(AD56=15,J56,0)</f>
        <v>0</v>
      </c>
      <c r="AB56" s="31">
        <f>IF(AD56=21,J56,0)</f>
        <v>0</v>
      </c>
      <c r="AD56" s="57">
        <v>21</v>
      </c>
      <c r="AE56" s="57">
        <f>G56*0</f>
        <v>0</v>
      </c>
      <c r="AF56" s="57">
        <f>G56*(1-0)</f>
        <v>0</v>
      </c>
      <c r="AG56" s="52" t="s">
        <v>13</v>
      </c>
      <c r="AM56" s="57">
        <f>F56*AE56</f>
        <v>0</v>
      </c>
      <c r="AN56" s="57">
        <f>F56*AF56</f>
        <v>0</v>
      </c>
      <c r="AO56" s="58" t="s">
        <v>419</v>
      </c>
      <c r="AP56" s="58" t="s">
        <v>430</v>
      </c>
      <c r="AQ56" s="46" t="s">
        <v>434</v>
      </c>
      <c r="AS56" s="57">
        <f>AM56+AN56</f>
        <v>0</v>
      </c>
      <c r="AT56" s="57">
        <f>G56/(100-AU56)*100</f>
        <v>0</v>
      </c>
      <c r="AU56" s="57">
        <v>0</v>
      </c>
      <c r="AV56" s="57">
        <f>L56</f>
        <v>0</v>
      </c>
    </row>
    <row r="57" spans="1:48" ht="12.75">
      <c r="A57" s="10" t="s">
        <v>47</v>
      </c>
      <c r="B57" s="10"/>
      <c r="C57" s="10" t="s">
        <v>166</v>
      </c>
      <c r="D57" s="10" t="s">
        <v>295</v>
      </c>
      <c r="E57" s="10" t="s">
        <v>375</v>
      </c>
      <c r="F57" s="31">
        <v>10</v>
      </c>
      <c r="G57" s="31">
        <v>0</v>
      </c>
      <c r="H57" s="31">
        <f>F57*AE57</f>
        <v>0</v>
      </c>
      <c r="I57" s="31">
        <f>J57-H57</f>
        <v>0</v>
      </c>
      <c r="J57" s="31">
        <f>F57*G57</f>
        <v>0</v>
      </c>
      <c r="K57" s="31">
        <v>0</v>
      </c>
      <c r="L57" s="31">
        <f>F57*K57</f>
        <v>0</v>
      </c>
      <c r="M57" s="52" t="s">
        <v>405</v>
      </c>
      <c r="P57" s="57">
        <f>IF(AG57="5",J57,0)</f>
        <v>0</v>
      </c>
      <c r="R57" s="57">
        <f>IF(AG57="1",H57,0)</f>
        <v>0</v>
      </c>
      <c r="S57" s="57">
        <f>IF(AG57="1",I57,0)</f>
        <v>0</v>
      </c>
      <c r="T57" s="57">
        <f>IF(AG57="7",H57,0)</f>
        <v>0</v>
      </c>
      <c r="U57" s="57">
        <f>IF(AG57="7",I57,0)</f>
        <v>0</v>
      </c>
      <c r="V57" s="57">
        <f>IF(AG57="2",H57,0)</f>
        <v>0</v>
      </c>
      <c r="W57" s="57">
        <f>IF(AG57="2",I57,0)</f>
        <v>0</v>
      </c>
      <c r="X57" s="57">
        <f>IF(AG57="0",J57,0)</f>
        <v>0</v>
      </c>
      <c r="Y57" s="46"/>
      <c r="Z57" s="31">
        <f>IF(AD57=0,J57,0)</f>
        <v>0</v>
      </c>
      <c r="AA57" s="31">
        <f>IF(AD57=15,J57,0)</f>
        <v>0</v>
      </c>
      <c r="AB57" s="31">
        <f>IF(AD57=21,J57,0)</f>
        <v>0</v>
      </c>
      <c r="AD57" s="57">
        <v>21</v>
      </c>
      <c r="AE57" s="57">
        <f>G57*0</f>
        <v>0</v>
      </c>
      <c r="AF57" s="57">
        <f>G57*(1-0)</f>
        <v>0</v>
      </c>
      <c r="AG57" s="52" t="s">
        <v>13</v>
      </c>
      <c r="AM57" s="57">
        <f>F57*AE57</f>
        <v>0</v>
      </c>
      <c r="AN57" s="57">
        <f>F57*AF57</f>
        <v>0</v>
      </c>
      <c r="AO57" s="58" t="s">
        <v>419</v>
      </c>
      <c r="AP57" s="58" t="s">
        <v>430</v>
      </c>
      <c r="AQ57" s="46" t="s">
        <v>434</v>
      </c>
      <c r="AS57" s="57">
        <f>AM57+AN57</f>
        <v>0</v>
      </c>
      <c r="AT57" s="57">
        <f>G57/(100-AU57)*100</f>
        <v>0</v>
      </c>
      <c r="AU57" s="57">
        <v>0</v>
      </c>
      <c r="AV57" s="57">
        <f>L57</f>
        <v>0</v>
      </c>
    </row>
    <row r="58" spans="1:48" ht="12.75">
      <c r="A58" s="10" t="s">
        <v>48</v>
      </c>
      <c r="B58" s="10"/>
      <c r="C58" s="10" t="s">
        <v>167</v>
      </c>
      <c r="D58" s="10" t="s">
        <v>296</v>
      </c>
      <c r="E58" s="10" t="s">
        <v>375</v>
      </c>
      <c r="F58" s="31">
        <v>10</v>
      </c>
      <c r="G58" s="31">
        <v>0</v>
      </c>
      <c r="H58" s="31">
        <f>F58*AE58</f>
        <v>0</v>
      </c>
      <c r="I58" s="31">
        <f>J58-H58</f>
        <v>0</v>
      </c>
      <c r="J58" s="31">
        <f>F58*G58</f>
        <v>0</v>
      </c>
      <c r="K58" s="31">
        <v>0</v>
      </c>
      <c r="L58" s="31">
        <f>F58*K58</f>
        <v>0</v>
      </c>
      <c r="M58" s="52" t="s">
        <v>405</v>
      </c>
      <c r="P58" s="57">
        <f>IF(AG58="5",J58,0)</f>
        <v>0</v>
      </c>
      <c r="R58" s="57">
        <f>IF(AG58="1",H58,0)</f>
        <v>0</v>
      </c>
      <c r="S58" s="57">
        <f>IF(AG58="1",I58,0)</f>
        <v>0</v>
      </c>
      <c r="T58" s="57">
        <f>IF(AG58="7",H58,0)</f>
        <v>0</v>
      </c>
      <c r="U58" s="57">
        <f>IF(AG58="7",I58,0)</f>
        <v>0</v>
      </c>
      <c r="V58" s="57">
        <f>IF(AG58="2",H58,0)</f>
        <v>0</v>
      </c>
      <c r="W58" s="57">
        <f>IF(AG58="2",I58,0)</f>
        <v>0</v>
      </c>
      <c r="X58" s="57">
        <f>IF(AG58="0",J58,0)</f>
        <v>0</v>
      </c>
      <c r="Y58" s="46"/>
      <c r="Z58" s="31">
        <f>IF(AD58=0,J58,0)</f>
        <v>0</v>
      </c>
      <c r="AA58" s="31">
        <f>IF(AD58=15,J58,0)</f>
        <v>0</v>
      </c>
      <c r="AB58" s="31">
        <f>IF(AD58=21,J58,0)</f>
        <v>0</v>
      </c>
      <c r="AD58" s="57">
        <v>21</v>
      </c>
      <c r="AE58" s="57">
        <f>G58*0</f>
        <v>0</v>
      </c>
      <c r="AF58" s="57">
        <f>G58*(1-0)</f>
        <v>0</v>
      </c>
      <c r="AG58" s="52" t="s">
        <v>13</v>
      </c>
      <c r="AM58" s="57">
        <f>F58*AE58</f>
        <v>0</v>
      </c>
      <c r="AN58" s="57">
        <f>F58*AF58</f>
        <v>0</v>
      </c>
      <c r="AO58" s="58" t="s">
        <v>419</v>
      </c>
      <c r="AP58" s="58" t="s">
        <v>430</v>
      </c>
      <c r="AQ58" s="46" t="s">
        <v>434</v>
      </c>
      <c r="AS58" s="57">
        <f>AM58+AN58</f>
        <v>0</v>
      </c>
      <c r="AT58" s="57">
        <f>G58/(100-AU58)*100</f>
        <v>0</v>
      </c>
      <c r="AU58" s="57">
        <v>0</v>
      </c>
      <c r="AV58" s="57">
        <f>L58</f>
        <v>0</v>
      </c>
    </row>
    <row r="59" spans="1:48" ht="12.75">
      <c r="A59" s="10" t="s">
        <v>49</v>
      </c>
      <c r="B59" s="10"/>
      <c r="C59" s="10" t="s">
        <v>168</v>
      </c>
      <c r="D59" s="10" t="s">
        <v>297</v>
      </c>
      <c r="E59" s="10" t="s">
        <v>375</v>
      </c>
      <c r="F59" s="31">
        <v>10</v>
      </c>
      <c r="G59" s="31">
        <v>0</v>
      </c>
      <c r="H59" s="31">
        <f>F59*AE59</f>
        <v>0</v>
      </c>
      <c r="I59" s="31">
        <f>J59-H59</f>
        <v>0</v>
      </c>
      <c r="J59" s="31">
        <f>F59*G59</f>
        <v>0</v>
      </c>
      <c r="K59" s="31">
        <v>0</v>
      </c>
      <c r="L59" s="31">
        <f>F59*K59</f>
        <v>0</v>
      </c>
      <c r="M59" s="52" t="s">
        <v>405</v>
      </c>
      <c r="P59" s="57">
        <f>IF(AG59="5",J59,0)</f>
        <v>0</v>
      </c>
      <c r="R59" s="57">
        <f>IF(AG59="1",H59,0)</f>
        <v>0</v>
      </c>
      <c r="S59" s="57">
        <f>IF(AG59="1",I59,0)</f>
        <v>0</v>
      </c>
      <c r="T59" s="57">
        <f>IF(AG59="7",H59,0)</f>
        <v>0</v>
      </c>
      <c r="U59" s="57">
        <f>IF(AG59="7",I59,0)</f>
        <v>0</v>
      </c>
      <c r="V59" s="57">
        <f>IF(AG59="2",H59,0)</f>
        <v>0</v>
      </c>
      <c r="W59" s="57">
        <f>IF(AG59="2",I59,0)</f>
        <v>0</v>
      </c>
      <c r="X59" s="57">
        <f>IF(AG59="0",J59,0)</f>
        <v>0</v>
      </c>
      <c r="Y59" s="46"/>
      <c r="Z59" s="31">
        <f>IF(AD59=0,J59,0)</f>
        <v>0</v>
      </c>
      <c r="AA59" s="31">
        <f>IF(AD59=15,J59,0)</f>
        <v>0</v>
      </c>
      <c r="AB59" s="31">
        <f>IF(AD59=21,J59,0)</f>
        <v>0</v>
      </c>
      <c r="AD59" s="57">
        <v>21</v>
      </c>
      <c r="AE59" s="57">
        <f>G59*0</f>
        <v>0</v>
      </c>
      <c r="AF59" s="57">
        <f>G59*(1-0)</f>
        <v>0</v>
      </c>
      <c r="AG59" s="52" t="s">
        <v>13</v>
      </c>
      <c r="AM59" s="57">
        <f>F59*AE59</f>
        <v>0</v>
      </c>
      <c r="AN59" s="57">
        <f>F59*AF59</f>
        <v>0</v>
      </c>
      <c r="AO59" s="58" t="s">
        <v>419</v>
      </c>
      <c r="AP59" s="58" t="s">
        <v>430</v>
      </c>
      <c r="AQ59" s="46" t="s">
        <v>434</v>
      </c>
      <c r="AS59" s="57">
        <f>AM59+AN59</f>
        <v>0</v>
      </c>
      <c r="AT59" s="57">
        <f>G59/(100-AU59)*100</f>
        <v>0</v>
      </c>
      <c r="AU59" s="57">
        <v>0</v>
      </c>
      <c r="AV59" s="57">
        <f>L59</f>
        <v>0</v>
      </c>
    </row>
    <row r="60" spans="1:48" ht="12.75">
      <c r="A60" s="10" t="s">
        <v>50</v>
      </c>
      <c r="B60" s="10"/>
      <c r="C60" s="10" t="s">
        <v>169</v>
      </c>
      <c r="D60" s="10" t="s">
        <v>298</v>
      </c>
      <c r="E60" s="10" t="s">
        <v>376</v>
      </c>
      <c r="F60" s="31">
        <v>67</v>
      </c>
      <c r="G60" s="31">
        <v>0</v>
      </c>
      <c r="H60" s="31">
        <f>F60*AE60</f>
        <v>0</v>
      </c>
      <c r="I60" s="31">
        <f>J60-H60</f>
        <v>0</v>
      </c>
      <c r="J60" s="31">
        <f>F60*G60</f>
        <v>0</v>
      </c>
      <c r="K60" s="31">
        <v>2E-05</v>
      </c>
      <c r="L60" s="31">
        <f>F60*K60</f>
        <v>0.00134</v>
      </c>
      <c r="M60" s="52" t="s">
        <v>405</v>
      </c>
      <c r="P60" s="57">
        <f>IF(AG60="5",J60,0)</f>
        <v>0</v>
      </c>
      <c r="R60" s="57">
        <f>IF(AG60="1",H60,0)</f>
        <v>0</v>
      </c>
      <c r="S60" s="57">
        <f>IF(AG60="1",I60,0)</f>
        <v>0</v>
      </c>
      <c r="T60" s="57">
        <f>IF(AG60="7",H60,0)</f>
        <v>0</v>
      </c>
      <c r="U60" s="57">
        <f>IF(AG60="7",I60,0)</f>
        <v>0</v>
      </c>
      <c r="V60" s="57">
        <f>IF(AG60="2",H60,0)</f>
        <v>0</v>
      </c>
      <c r="W60" s="57">
        <f>IF(AG60="2",I60,0)</f>
        <v>0</v>
      </c>
      <c r="X60" s="57">
        <f>IF(AG60="0",J60,0)</f>
        <v>0</v>
      </c>
      <c r="Y60" s="46"/>
      <c r="Z60" s="31">
        <f>IF(AD60=0,J60,0)</f>
        <v>0</v>
      </c>
      <c r="AA60" s="31">
        <f>IF(AD60=15,J60,0)</f>
        <v>0</v>
      </c>
      <c r="AB60" s="31">
        <f>IF(AD60=21,J60,0)</f>
        <v>0</v>
      </c>
      <c r="AD60" s="57">
        <v>21</v>
      </c>
      <c r="AE60" s="57">
        <f>G60*0.238853503184713</f>
        <v>0</v>
      </c>
      <c r="AF60" s="57">
        <f>G60*(1-0.238853503184713)</f>
        <v>0</v>
      </c>
      <c r="AG60" s="52" t="s">
        <v>13</v>
      </c>
      <c r="AM60" s="57">
        <f>F60*AE60</f>
        <v>0</v>
      </c>
      <c r="AN60" s="57">
        <f>F60*AF60</f>
        <v>0</v>
      </c>
      <c r="AO60" s="58" t="s">
        <v>419</v>
      </c>
      <c r="AP60" s="58" t="s">
        <v>430</v>
      </c>
      <c r="AQ60" s="46" t="s">
        <v>434</v>
      </c>
      <c r="AS60" s="57">
        <f>AM60+AN60</f>
        <v>0</v>
      </c>
      <c r="AT60" s="57">
        <f>G60/(100-AU60)*100</f>
        <v>0</v>
      </c>
      <c r="AU60" s="57">
        <v>0</v>
      </c>
      <c r="AV60" s="57">
        <f>L60</f>
        <v>0.00134</v>
      </c>
    </row>
    <row r="61" spans="1:48" ht="12.75">
      <c r="A61" s="10" t="s">
        <v>51</v>
      </c>
      <c r="B61" s="10"/>
      <c r="C61" s="10" t="s">
        <v>170</v>
      </c>
      <c r="D61" s="10" t="s">
        <v>298</v>
      </c>
      <c r="E61" s="10" t="s">
        <v>376</v>
      </c>
      <c r="F61" s="31">
        <v>50</v>
      </c>
      <c r="G61" s="31">
        <v>0</v>
      </c>
      <c r="H61" s="31">
        <f>F61*AE61</f>
        <v>0</v>
      </c>
      <c r="I61" s="31">
        <f>J61-H61</f>
        <v>0</v>
      </c>
      <c r="J61" s="31">
        <f>F61*G61</f>
        <v>0</v>
      </c>
      <c r="K61" s="31">
        <v>6E-05</v>
      </c>
      <c r="L61" s="31">
        <f>F61*K61</f>
        <v>0.003</v>
      </c>
      <c r="M61" s="52" t="s">
        <v>405</v>
      </c>
      <c r="P61" s="57">
        <f>IF(AG61="5",J61,0)</f>
        <v>0</v>
      </c>
      <c r="R61" s="57">
        <f>IF(AG61="1",H61,0)</f>
        <v>0</v>
      </c>
      <c r="S61" s="57">
        <f>IF(AG61="1",I61,0)</f>
        <v>0</v>
      </c>
      <c r="T61" s="57">
        <f>IF(AG61="7",H61,0)</f>
        <v>0</v>
      </c>
      <c r="U61" s="57">
        <f>IF(AG61="7",I61,0)</f>
        <v>0</v>
      </c>
      <c r="V61" s="57">
        <f>IF(AG61="2",H61,0)</f>
        <v>0</v>
      </c>
      <c r="W61" s="57">
        <f>IF(AG61="2",I61,0)</f>
        <v>0</v>
      </c>
      <c r="X61" s="57">
        <f>IF(AG61="0",J61,0)</f>
        <v>0</v>
      </c>
      <c r="Y61" s="46"/>
      <c r="Z61" s="31">
        <f>IF(AD61=0,J61,0)</f>
        <v>0</v>
      </c>
      <c r="AA61" s="31">
        <f>IF(AD61=15,J61,0)</f>
        <v>0</v>
      </c>
      <c r="AB61" s="31">
        <f>IF(AD61=21,J61,0)</f>
        <v>0</v>
      </c>
      <c r="AD61" s="57">
        <v>21</v>
      </c>
      <c r="AE61" s="57">
        <f>G61*0.266411042944785</f>
        <v>0</v>
      </c>
      <c r="AF61" s="57">
        <f>G61*(1-0.266411042944785)</f>
        <v>0</v>
      </c>
      <c r="AG61" s="52" t="s">
        <v>13</v>
      </c>
      <c r="AM61" s="57">
        <f>F61*AE61</f>
        <v>0</v>
      </c>
      <c r="AN61" s="57">
        <f>F61*AF61</f>
        <v>0</v>
      </c>
      <c r="AO61" s="58" t="s">
        <v>419</v>
      </c>
      <c r="AP61" s="58" t="s">
        <v>430</v>
      </c>
      <c r="AQ61" s="46" t="s">
        <v>434</v>
      </c>
      <c r="AS61" s="57">
        <f>AM61+AN61</f>
        <v>0</v>
      </c>
      <c r="AT61" s="57">
        <f>G61/(100-AU61)*100</f>
        <v>0</v>
      </c>
      <c r="AU61" s="57">
        <v>0</v>
      </c>
      <c r="AV61" s="57">
        <f>L61</f>
        <v>0.003</v>
      </c>
    </row>
    <row r="62" spans="1:48" ht="12.75">
      <c r="A62" s="10" t="s">
        <v>52</v>
      </c>
      <c r="B62" s="10"/>
      <c r="C62" s="10" t="s">
        <v>171</v>
      </c>
      <c r="D62" s="10" t="s">
        <v>298</v>
      </c>
      <c r="E62" s="10" t="s">
        <v>376</v>
      </c>
      <c r="F62" s="31">
        <v>50.5</v>
      </c>
      <c r="G62" s="31">
        <v>0</v>
      </c>
      <c r="H62" s="31">
        <f>F62*AE62</f>
        <v>0</v>
      </c>
      <c r="I62" s="31">
        <f>J62-H62</f>
        <v>0</v>
      </c>
      <c r="J62" s="31">
        <f>F62*G62</f>
        <v>0</v>
      </c>
      <c r="K62" s="31">
        <v>5E-05</v>
      </c>
      <c r="L62" s="31">
        <f>F62*K62</f>
        <v>0.0025250000000000003</v>
      </c>
      <c r="M62" s="52" t="s">
        <v>405</v>
      </c>
      <c r="P62" s="57">
        <f>IF(AG62="5",J62,0)</f>
        <v>0</v>
      </c>
      <c r="R62" s="57">
        <f>IF(AG62="1",H62,0)</f>
        <v>0</v>
      </c>
      <c r="S62" s="57">
        <f>IF(AG62="1",I62,0)</f>
        <v>0</v>
      </c>
      <c r="T62" s="57">
        <f>IF(AG62="7",H62,0)</f>
        <v>0</v>
      </c>
      <c r="U62" s="57">
        <f>IF(AG62="7",I62,0)</f>
        <v>0</v>
      </c>
      <c r="V62" s="57">
        <f>IF(AG62="2",H62,0)</f>
        <v>0</v>
      </c>
      <c r="W62" s="57">
        <f>IF(AG62="2",I62,0)</f>
        <v>0</v>
      </c>
      <c r="X62" s="57">
        <f>IF(AG62="0",J62,0)</f>
        <v>0</v>
      </c>
      <c r="Y62" s="46"/>
      <c r="Z62" s="31">
        <f>IF(AD62=0,J62,0)</f>
        <v>0</v>
      </c>
      <c r="AA62" s="31">
        <f>IF(AD62=15,J62,0)</f>
        <v>0</v>
      </c>
      <c r="AB62" s="31">
        <f>IF(AD62=21,J62,0)</f>
        <v>0</v>
      </c>
      <c r="AD62" s="57">
        <v>21</v>
      </c>
      <c r="AE62" s="57">
        <f>G62*0.272689225045819</f>
        <v>0</v>
      </c>
      <c r="AF62" s="57">
        <f>G62*(1-0.272689225045819)</f>
        <v>0</v>
      </c>
      <c r="AG62" s="52" t="s">
        <v>13</v>
      </c>
      <c r="AM62" s="57">
        <f>F62*AE62</f>
        <v>0</v>
      </c>
      <c r="AN62" s="57">
        <f>F62*AF62</f>
        <v>0</v>
      </c>
      <c r="AO62" s="58" t="s">
        <v>419</v>
      </c>
      <c r="AP62" s="58" t="s">
        <v>430</v>
      </c>
      <c r="AQ62" s="46" t="s">
        <v>434</v>
      </c>
      <c r="AS62" s="57">
        <f>AM62+AN62</f>
        <v>0</v>
      </c>
      <c r="AT62" s="57">
        <f>G62/(100-AU62)*100</f>
        <v>0</v>
      </c>
      <c r="AU62" s="57">
        <v>0</v>
      </c>
      <c r="AV62" s="57">
        <f>L62</f>
        <v>0.0025250000000000003</v>
      </c>
    </row>
    <row r="63" spans="1:48" ht="12.75">
      <c r="A63" s="10" t="s">
        <v>53</v>
      </c>
      <c r="B63" s="10"/>
      <c r="C63" s="10" t="s">
        <v>172</v>
      </c>
      <c r="D63" s="10" t="s">
        <v>298</v>
      </c>
      <c r="E63" s="10" t="s">
        <v>376</v>
      </c>
      <c r="F63" s="31">
        <v>28</v>
      </c>
      <c r="G63" s="31">
        <v>0</v>
      </c>
      <c r="H63" s="31">
        <f>F63*AE63</f>
        <v>0</v>
      </c>
      <c r="I63" s="31">
        <f>J63-H63</f>
        <v>0</v>
      </c>
      <c r="J63" s="31">
        <f>F63*G63</f>
        <v>0</v>
      </c>
      <c r="K63" s="31">
        <v>6E-05</v>
      </c>
      <c r="L63" s="31">
        <f>F63*K63</f>
        <v>0.00168</v>
      </c>
      <c r="M63" s="52" t="s">
        <v>405</v>
      </c>
      <c r="P63" s="57">
        <f>IF(AG63="5",J63,0)</f>
        <v>0</v>
      </c>
      <c r="R63" s="57">
        <f>IF(AG63="1",H63,0)</f>
        <v>0</v>
      </c>
      <c r="S63" s="57">
        <f>IF(AG63="1",I63,0)</f>
        <v>0</v>
      </c>
      <c r="T63" s="57">
        <f>IF(AG63="7",H63,0)</f>
        <v>0</v>
      </c>
      <c r="U63" s="57">
        <f>IF(AG63="7",I63,0)</f>
        <v>0</v>
      </c>
      <c r="V63" s="57">
        <f>IF(AG63="2",H63,0)</f>
        <v>0</v>
      </c>
      <c r="W63" s="57">
        <f>IF(AG63="2",I63,0)</f>
        <v>0</v>
      </c>
      <c r="X63" s="57">
        <f>IF(AG63="0",J63,0)</f>
        <v>0</v>
      </c>
      <c r="Y63" s="46"/>
      <c r="Z63" s="31">
        <f>IF(AD63=0,J63,0)</f>
        <v>0</v>
      </c>
      <c r="AA63" s="31">
        <f>IF(AD63=15,J63,0)</f>
        <v>0</v>
      </c>
      <c r="AB63" s="31">
        <f>IF(AD63=21,J63,0)</f>
        <v>0</v>
      </c>
      <c r="AD63" s="57">
        <v>21</v>
      </c>
      <c r="AE63" s="57">
        <f>G63*0.264475347661188</f>
        <v>0</v>
      </c>
      <c r="AF63" s="57">
        <f>G63*(1-0.264475347661188)</f>
        <v>0</v>
      </c>
      <c r="AG63" s="52" t="s">
        <v>13</v>
      </c>
      <c r="AM63" s="57">
        <f>F63*AE63</f>
        <v>0</v>
      </c>
      <c r="AN63" s="57">
        <f>F63*AF63</f>
        <v>0</v>
      </c>
      <c r="AO63" s="58" t="s">
        <v>419</v>
      </c>
      <c r="AP63" s="58" t="s">
        <v>430</v>
      </c>
      <c r="AQ63" s="46" t="s">
        <v>434</v>
      </c>
      <c r="AS63" s="57">
        <f>AM63+AN63</f>
        <v>0</v>
      </c>
      <c r="AT63" s="57">
        <f>G63/(100-AU63)*100</f>
        <v>0</v>
      </c>
      <c r="AU63" s="57">
        <v>0</v>
      </c>
      <c r="AV63" s="57">
        <f>L63</f>
        <v>0.00168</v>
      </c>
    </row>
    <row r="64" spans="1:48" ht="12.75">
      <c r="A64" s="10" t="s">
        <v>54</v>
      </c>
      <c r="B64" s="10"/>
      <c r="C64" s="10" t="s">
        <v>173</v>
      </c>
      <c r="D64" s="10" t="s">
        <v>299</v>
      </c>
      <c r="E64" s="10" t="s">
        <v>376</v>
      </c>
      <c r="F64" s="31">
        <v>26</v>
      </c>
      <c r="G64" s="31">
        <v>0</v>
      </c>
      <c r="H64" s="31">
        <f>F64*AE64</f>
        <v>0</v>
      </c>
      <c r="I64" s="31">
        <f>J64-H64</f>
        <v>0</v>
      </c>
      <c r="J64" s="31">
        <f>F64*G64</f>
        <v>0</v>
      </c>
      <c r="K64" s="31">
        <v>0.00012</v>
      </c>
      <c r="L64" s="31">
        <f>F64*K64</f>
        <v>0.00312</v>
      </c>
      <c r="M64" s="52" t="s">
        <v>405</v>
      </c>
      <c r="P64" s="57">
        <f>IF(AG64="5",J64,0)</f>
        <v>0</v>
      </c>
      <c r="R64" s="57">
        <f>IF(AG64="1",H64,0)</f>
        <v>0</v>
      </c>
      <c r="S64" s="57">
        <f>IF(AG64="1",I64,0)</f>
        <v>0</v>
      </c>
      <c r="T64" s="57">
        <f>IF(AG64="7",H64,0)</f>
        <v>0</v>
      </c>
      <c r="U64" s="57">
        <f>IF(AG64="7",I64,0)</f>
        <v>0</v>
      </c>
      <c r="V64" s="57">
        <f>IF(AG64="2",H64,0)</f>
        <v>0</v>
      </c>
      <c r="W64" s="57">
        <f>IF(AG64="2",I64,0)</f>
        <v>0</v>
      </c>
      <c r="X64" s="57">
        <f>IF(AG64="0",J64,0)</f>
        <v>0</v>
      </c>
      <c r="Y64" s="46"/>
      <c r="Z64" s="31">
        <f>IF(AD64=0,J64,0)</f>
        <v>0</v>
      </c>
      <c r="AA64" s="31">
        <f>IF(AD64=15,J64,0)</f>
        <v>0</v>
      </c>
      <c r="AB64" s="31">
        <f>IF(AD64=21,J64,0)</f>
        <v>0</v>
      </c>
      <c r="AD64" s="57">
        <v>21</v>
      </c>
      <c r="AE64" s="57">
        <f>G64*0.36996300369963</f>
        <v>0</v>
      </c>
      <c r="AF64" s="57">
        <f>G64*(1-0.36996300369963)</f>
        <v>0</v>
      </c>
      <c r="AG64" s="52" t="s">
        <v>13</v>
      </c>
      <c r="AM64" s="57">
        <f>F64*AE64</f>
        <v>0</v>
      </c>
      <c r="AN64" s="57">
        <f>F64*AF64</f>
        <v>0</v>
      </c>
      <c r="AO64" s="58" t="s">
        <v>419</v>
      </c>
      <c r="AP64" s="58" t="s">
        <v>430</v>
      </c>
      <c r="AQ64" s="46" t="s">
        <v>434</v>
      </c>
      <c r="AS64" s="57">
        <f>AM64+AN64</f>
        <v>0</v>
      </c>
      <c r="AT64" s="57">
        <f>G64/(100-AU64)*100</f>
        <v>0</v>
      </c>
      <c r="AU64" s="57">
        <v>0</v>
      </c>
      <c r="AV64" s="57">
        <f>L64</f>
        <v>0.00312</v>
      </c>
    </row>
    <row r="65" spans="1:48" ht="12.75">
      <c r="A65" s="10" t="s">
        <v>55</v>
      </c>
      <c r="B65" s="10"/>
      <c r="C65" s="10" t="s">
        <v>174</v>
      </c>
      <c r="D65" s="10" t="s">
        <v>300</v>
      </c>
      <c r="E65" s="10" t="s">
        <v>376</v>
      </c>
      <c r="F65" s="31">
        <v>105.5</v>
      </c>
      <c r="G65" s="31">
        <v>0</v>
      </c>
      <c r="H65" s="31">
        <f>F65*AE65</f>
        <v>0</v>
      </c>
      <c r="I65" s="31">
        <f>J65-H65</f>
        <v>0</v>
      </c>
      <c r="J65" s="31">
        <f>F65*G65</f>
        <v>0</v>
      </c>
      <c r="K65" s="31">
        <v>3E-05</v>
      </c>
      <c r="L65" s="31">
        <f>F65*K65</f>
        <v>0.0031650000000000003</v>
      </c>
      <c r="M65" s="52" t="s">
        <v>405</v>
      </c>
      <c r="P65" s="57">
        <f>IF(AG65="5",J65,0)</f>
        <v>0</v>
      </c>
      <c r="R65" s="57">
        <f>IF(AG65="1",H65,0)</f>
        <v>0</v>
      </c>
      <c r="S65" s="57">
        <f>IF(AG65="1",I65,0)</f>
        <v>0</v>
      </c>
      <c r="T65" s="57">
        <f>IF(AG65="7",H65,0)</f>
        <v>0</v>
      </c>
      <c r="U65" s="57">
        <f>IF(AG65="7",I65,0)</f>
        <v>0</v>
      </c>
      <c r="V65" s="57">
        <f>IF(AG65="2",H65,0)</f>
        <v>0</v>
      </c>
      <c r="W65" s="57">
        <f>IF(AG65="2",I65,0)</f>
        <v>0</v>
      </c>
      <c r="X65" s="57">
        <f>IF(AG65="0",J65,0)</f>
        <v>0</v>
      </c>
      <c r="Y65" s="46"/>
      <c r="Z65" s="31">
        <f>IF(AD65=0,J65,0)</f>
        <v>0</v>
      </c>
      <c r="AA65" s="31">
        <f>IF(AD65=15,J65,0)</f>
        <v>0</v>
      </c>
      <c r="AB65" s="31">
        <f>IF(AD65=21,J65,0)</f>
        <v>0</v>
      </c>
      <c r="AD65" s="57">
        <v>21</v>
      </c>
      <c r="AE65" s="57">
        <f>G65*0.683377483443709</f>
        <v>0</v>
      </c>
      <c r="AF65" s="57">
        <f>G65*(1-0.683377483443709)</f>
        <v>0</v>
      </c>
      <c r="AG65" s="52" t="s">
        <v>13</v>
      </c>
      <c r="AM65" s="57">
        <f>F65*AE65</f>
        <v>0</v>
      </c>
      <c r="AN65" s="57">
        <f>F65*AF65</f>
        <v>0</v>
      </c>
      <c r="AO65" s="58" t="s">
        <v>419</v>
      </c>
      <c r="AP65" s="58" t="s">
        <v>430</v>
      </c>
      <c r="AQ65" s="46" t="s">
        <v>434</v>
      </c>
      <c r="AS65" s="57">
        <f>AM65+AN65</f>
        <v>0</v>
      </c>
      <c r="AT65" s="57">
        <f>G65/(100-AU65)*100</f>
        <v>0</v>
      </c>
      <c r="AU65" s="57">
        <v>0</v>
      </c>
      <c r="AV65" s="57">
        <f>L65</f>
        <v>0.0031650000000000003</v>
      </c>
    </row>
    <row r="66" spans="1:48" ht="12.75">
      <c r="A66" s="10" t="s">
        <v>56</v>
      </c>
      <c r="B66" s="10"/>
      <c r="C66" s="10" t="s">
        <v>175</v>
      </c>
      <c r="D66" s="10" t="s">
        <v>300</v>
      </c>
      <c r="E66" s="10" t="s">
        <v>376</v>
      </c>
      <c r="F66" s="31">
        <v>43</v>
      </c>
      <c r="G66" s="31">
        <v>0</v>
      </c>
      <c r="H66" s="31">
        <f>F66*AE66</f>
        <v>0</v>
      </c>
      <c r="I66" s="31">
        <f>J66-H66</f>
        <v>0</v>
      </c>
      <c r="J66" s="31">
        <f>F66*G66</f>
        <v>0</v>
      </c>
      <c r="K66" s="31">
        <v>3E-05</v>
      </c>
      <c r="L66" s="31">
        <f>F66*K66</f>
        <v>0.0012900000000000001</v>
      </c>
      <c r="M66" s="52" t="s">
        <v>405</v>
      </c>
      <c r="P66" s="57">
        <f>IF(AG66="5",J66,0)</f>
        <v>0</v>
      </c>
      <c r="R66" s="57">
        <f>IF(AG66="1",H66,0)</f>
        <v>0</v>
      </c>
      <c r="S66" s="57">
        <f>IF(AG66="1",I66,0)</f>
        <v>0</v>
      </c>
      <c r="T66" s="57">
        <f>IF(AG66="7",H66,0)</f>
        <v>0</v>
      </c>
      <c r="U66" s="57">
        <f>IF(AG66="7",I66,0)</f>
        <v>0</v>
      </c>
      <c r="V66" s="57">
        <f>IF(AG66="2",H66,0)</f>
        <v>0</v>
      </c>
      <c r="W66" s="57">
        <f>IF(AG66="2",I66,0)</f>
        <v>0</v>
      </c>
      <c r="X66" s="57">
        <f>IF(AG66="0",J66,0)</f>
        <v>0</v>
      </c>
      <c r="Y66" s="46"/>
      <c r="Z66" s="31">
        <f>IF(AD66=0,J66,0)</f>
        <v>0</v>
      </c>
      <c r="AA66" s="31">
        <f>IF(AD66=15,J66,0)</f>
        <v>0</v>
      </c>
      <c r="AB66" s="31">
        <f>IF(AD66=21,J66,0)</f>
        <v>0</v>
      </c>
      <c r="AD66" s="57">
        <v>21</v>
      </c>
      <c r="AE66" s="57">
        <f>G66*0.720409356725146</f>
        <v>0</v>
      </c>
      <c r="AF66" s="57">
        <f>G66*(1-0.720409356725146)</f>
        <v>0</v>
      </c>
      <c r="AG66" s="52" t="s">
        <v>13</v>
      </c>
      <c r="AM66" s="57">
        <f>F66*AE66</f>
        <v>0</v>
      </c>
      <c r="AN66" s="57">
        <f>F66*AF66</f>
        <v>0</v>
      </c>
      <c r="AO66" s="58" t="s">
        <v>419</v>
      </c>
      <c r="AP66" s="58" t="s">
        <v>430</v>
      </c>
      <c r="AQ66" s="46" t="s">
        <v>434</v>
      </c>
      <c r="AS66" s="57">
        <f>AM66+AN66</f>
        <v>0</v>
      </c>
      <c r="AT66" s="57">
        <f>G66/(100-AU66)*100</f>
        <v>0</v>
      </c>
      <c r="AU66" s="57">
        <v>0</v>
      </c>
      <c r="AV66" s="57">
        <f>L66</f>
        <v>0.0012900000000000001</v>
      </c>
    </row>
    <row r="67" spans="1:48" ht="12.75">
      <c r="A67" s="10" t="s">
        <v>57</v>
      </c>
      <c r="B67" s="10"/>
      <c r="C67" s="10" t="s">
        <v>176</v>
      </c>
      <c r="D67" s="10" t="s">
        <v>300</v>
      </c>
      <c r="E67" s="10" t="s">
        <v>376</v>
      </c>
      <c r="F67" s="31">
        <v>31</v>
      </c>
      <c r="G67" s="31">
        <v>0</v>
      </c>
      <c r="H67" s="31">
        <f>F67*AE67</f>
        <v>0</v>
      </c>
      <c r="I67" s="31">
        <f>J67-H67</f>
        <v>0</v>
      </c>
      <c r="J67" s="31">
        <f>F67*G67</f>
        <v>0</v>
      </c>
      <c r="K67" s="31">
        <v>4E-05</v>
      </c>
      <c r="L67" s="31">
        <f>F67*K67</f>
        <v>0.00124</v>
      </c>
      <c r="M67" s="52" t="s">
        <v>405</v>
      </c>
      <c r="P67" s="57">
        <f>IF(AG67="5",J67,0)</f>
        <v>0</v>
      </c>
      <c r="R67" s="57">
        <f>IF(AG67="1",H67,0)</f>
        <v>0</v>
      </c>
      <c r="S67" s="57">
        <f>IF(AG67="1",I67,0)</f>
        <v>0</v>
      </c>
      <c r="T67" s="57">
        <f>IF(AG67="7",H67,0)</f>
        <v>0</v>
      </c>
      <c r="U67" s="57">
        <f>IF(AG67="7",I67,0)</f>
        <v>0</v>
      </c>
      <c r="V67" s="57">
        <f>IF(AG67="2",H67,0)</f>
        <v>0</v>
      </c>
      <c r="W67" s="57">
        <f>IF(AG67="2",I67,0)</f>
        <v>0</v>
      </c>
      <c r="X67" s="57">
        <f>IF(AG67="0",J67,0)</f>
        <v>0</v>
      </c>
      <c r="Y67" s="46"/>
      <c r="Z67" s="31">
        <f>IF(AD67=0,J67,0)</f>
        <v>0</v>
      </c>
      <c r="AA67" s="31">
        <f>IF(AD67=15,J67,0)</f>
        <v>0</v>
      </c>
      <c r="AB67" s="31">
        <f>IF(AD67=21,J67,0)</f>
        <v>0</v>
      </c>
      <c r="AD67" s="57">
        <v>21</v>
      </c>
      <c r="AE67" s="57">
        <f>G67*0.737592897401367</f>
        <v>0</v>
      </c>
      <c r="AF67" s="57">
        <f>G67*(1-0.737592897401367)</f>
        <v>0</v>
      </c>
      <c r="AG67" s="52" t="s">
        <v>13</v>
      </c>
      <c r="AM67" s="57">
        <f>F67*AE67</f>
        <v>0</v>
      </c>
      <c r="AN67" s="57">
        <f>F67*AF67</f>
        <v>0</v>
      </c>
      <c r="AO67" s="58" t="s">
        <v>419</v>
      </c>
      <c r="AP67" s="58" t="s">
        <v>430</v>
      </c>
      <c r="AQ67" s="46" t="s">
        <v>434</v>
      </c>
      <c r="AS67" s="57">
        <f>AM67+AN67</f>
        <v>0</v>
      </c>
      <c r="AT67" s="57">
        <f>G67/(100-AU67)*100</f>
        <v>0</v>
      </c>
      <c r="AU67" s="57">
        <v>0</v>
      </c>
      <c r="AV67" s="57">
        <f>L67</f>
        <v>0.00124</v>
      </c>
    </row>
    <row r="68" spans="1:48" ht="12.75">
      <c r="A68" s="10" t="s">
        <v>58</v>
      </c>
      <c r="B68" s="10"/>
      <c r="C68" s="10" t="s">
        <v>177</v>
      </c>
      <c r="D68" s="10" t="s">
        <v>300</v>
      </c>
      <c r="E68" s="10" t="s">
        <v>376</v>
      </c>
      <c r="F68" s="31">
        <v>37</v>
      </c>
      <c r="G68" s="31">
        <v>0</v>
      </c>
      <c r="H68" s="31">
        <f>F68*AE68</f>
        <v>0</v>
      </c>
      <c r="I68" s="31">
        <f>J68-H68</f>
        <v>0</v>
      </c>
      <c r="J68" s="31">
        <f>F68*G68</f>
        <v>0</v>
      </c>
      <c r="K68" s="31">
        <v>9E-05</v>
      </c>
      <c r="L68" s="31">
        <f>F68*K68</f>
        <v>0.00333</v>
      </c>
      <c r="M68" s="52" t="s">
        <v>405</v>
      </c>
      <c r="P68" s="57">
        <f>IF(AG68="5",J68,0)</f>
        <v>0</v>
      </c>
      <c r="R68" s="57">
        <f>IF(AG68="1",H68,0)</f>
        <v>0</v>
      </c>
      <c r="S68" s="57">
        <f>IF(AG68="1",I68,0)</f>
        <v>0</v>
      </c>
      <c r="T68" s="57">
        <f>IF(AG68="7",H68,0)</f>
        <v>0</v>
      </c>
      <c r="U68" s="57">
        <f>IF(AG68="7",I68,0)</f>
        <v>0</v>
      </c>
      <c r="V68" s="57">
        <f>IF(AG68="2",H68,0)</f>
        <v>0</v>
      </c>
      <c r="W68" s="57">
        <f>IF(AG68="2",I68,0)</f>
        <v>0</v>
      </c>
      <c r="X68" s="57">
        <f>IF(AG68="0",J68,0)</f>
        <v>0</v>
      </c>
      <c r="Y68" s="46"/>
      <c r="Z68" s="31">
        <f>IF(AD68=0,J68,0)</f>
        <v>0</v>
      </c>
      <c r="AA68" s="31">
        <f>IF(AD68=15,J68,0)</f>
        <v>0</v>
      </c>
      <c r="AB68" s="31">
        <f>IF(AD68=21,J68,0)</f>
        <v>0</v>
      </c>
      <c r="AD68" s="57">
        <v>21</v>
      </c>
      <c r="AE68" s="57">
        <f>G68*0.753432203389831</f>
        <v>0</v>
      </c>
      <c r="AF68" s="57">
        <f>G68*(1-0.753432203389831)</f>
        <v>0</v>
      </c>
      <c r="AG68" s="52" t="s">
        <v>13</v>
      </c>
      <c r="AM68" s="57">
        <f>F68*AE68</f>
        <v>0</v>
      </c>
      <c r="AN68" s="57">
        <f>F68*AF68</f>
        <v>0</v>
      </c>
      <c r="AO68" s="58" t="s">
        <v>419</v>
      </c>
      <c r="AP68" s="58" t="s">
        <v>430</v>
      </c>
      <c r="AQ68" s="46" t="s">
        <v>434</v>
      </c>
      <c r="AS68" s="57">
        <f>AM68+AN68</f>
        <v>0</v>
      </c>
      <c r="AT68" s="57">
        <f>G68/(100-AU68)*100</f>
        <v>0</v>
      </c>
      <c r="AU68" s="57">
        <v>0</v>
      </c>
      <c r="AV68" s="57">
        <f>L68</f>
        <v>0.00333</v>
      </c>
    </row>
    <row r="69" spans="1:48" ht="12.75">
      <c r="A69" s="10" t="s">
        <v>59</v>
      </c>
      <c r="B69" s="10"/>
      <c r="C69" s="10" t="s">
        <v>178</v>
      </c>
      <c r="D69" s="10" t="s">
        <v>300</v>
      </c>
      <c r="E69" s="10" t="s">
        <v>376</v>
      </c>
      <c r="F69" s="31">
        <v>18</v>
      </c>
      <c r="G69" s="31">
        <v>0</v>
      </c>
      <c r="H69" s="31">
        <f>F69*AE69</f>
        <v>0</v>
      </c>
      <c r="I69" s="31">
        <f>J69-H69</f>
        <v>0</v>
      </c>
      <c r="J69" s="31">
        <f>F69*G69</f>
        <v>0</v>
      </c>
      <c r="K69" s="31">
        <v>0.00016</v>
      </c>
      <c r="L69" s="31">
        <f>F69*K69</f>
        <v>0.00288</v>
      </c>
      <c r="M69" s="52" t="s">
        <v>405</v>
      </c>
      <c r="P69" s="57">
        <f>IF(AG69="5",J69,0)</f>
        <v>0</v>
      </c>
      <c r="R69" s="57">
        <f>IF(AG69="1",H69,0)</f>
        <v>0</v>
      </c>
      <c r="S69" s="57">
        <f>IF(AG69="1",I69,0)</f>
        <v>0</v>
      </c>
      <c r="T69" s="57">
        <f>IF(AG69="7",H69,0)</f>
        <v>0</v>
      </c>
      <c r="U69" s="57">
        <f>IF(AG69="7",I69,0)</f>
        <v>0</v>
      </c>
      <c r="V69" s="57">
        <f>IF(AG69="2",H69,0)</f>
        <v>0</v>
      </c>
      <c r="W69" s="57">
        <f>IF(AG69="2",I69,0)</f>
        <v>0</v>
      </c>
      <c r="X69" s="57">
        <f>IF(AG69="0",J69,0)</f>
        <v>0</v>
      </c>
      <c r="Y69" s="46"/>
      <c r="Z69" s="31">
        <f>IF(AD69=0,J69,0)</f>
        <v>0</v>
      </c>
      <c r="AA69" s="31">
        <f>IF(AD69=15,J69,0)</f>
        <v>0</v>
      </c>
      <c r="AB69" s="31">
        <f>IF(AD69=21,J69,0)</f>
        <v>0</v>
      </c>
      <c r="AD69" s="57">
        <v>21</v>
      </c>
      <c r="AE69" s="57">
        <f>G69*0.809948717948718</f>
        <v>0</v>
      </c>
      <c r="AF69" s="57">
        <f>G69*(1-0.809948717948718)</f>
        <v>0</v>
      </c>
      <c r="AG69" s="52" t="s">
        <v>13</v>
      </c>
      <c r="AM69" s="57">
        <f>F69*AE69</f>
        <v>0</v>
      </c>
      <c r="AN69" s="57">
        <f>F69*AF69</f>
        <v>0</v>
      </c>
      <c r="AO69" s="58" t="s">
        <v>419</v>
      </c>
      <c r="AP69" s="58" t="s">
        <v>430</v>
      </c>
      <c r="AQ69" s="46" t="s">
        <v>434</v>
      </c>
      <c r="AS69" s="57">
        <f>AM69+AN69</f>
        <v>0</v>
      </c>
      <c r="AT69" s="57">
        <f>G69/(100-AU69)*100</f>
        <v>0</v>
      </c>
      <c r="AU69" s="57">
        <v>0</v>
      </c>
      <c r="AV69" s="57">
        <f>L69</f>
        <v>0.00288</v>
      </c>
    </row>
    <row r="70" spans="1:48" ht="12.75">
      <c r="A70" s="10" t="s">
        <v>60</v>
      </c>
      <c r="B70" s="10"/>
      <c r="C70" s="10" t="s">
        <v>179</v>
      </c>
      <c r="D70" s="10" t="s">
        <v>301</v>
      </c>
      <c r="E70" s="10" t="s">
        <v>375</v>
      </c>
      <c r="F70" s="31">
        <v>20</v>
      </c>
      <c r="G70" s="31">
        <v>0</v>
      </c>
      <c r="H70" s="31">
        <f>F70*AE70</f>
        <v>0</v>
      </c>
      <c r="I70" s="31">
        <f>J70-H70</f>
        <v>0</v>
      </c>
      <c r="J70" s="31">
        <f>F70*G70</f>
        <v>0</v>
      </c>
      <c r="K70" s="31">
        <v>0</v>
      </c>
      <c r="L70" s="31">
        <f>F70*K70</f>
        <v>0</v>
      </c>
      <c r="M70" s="52" t="s">
        <v>405</v>
      </c>
      <c r="P70" s="57">
        <f>IF(AG70="5",J70,0)</f>
        <v>0</v>
      </c>
      <c r="R70" s="57">
        <f>IF(AG70="1",H70,0)</f>
        <v>0</v>
      </c>
      <c r="S70" s="57">
        <f>IF(AG70="1",I70,0)</f>
        <v>0</v>
      </c>
      <c r="T70" s="57">
        <f>IF(AG70="7",H70,0)</f>
        <v>0</v>
      </c>
      <c r="U70" s="57">
        <f>IF(AG70="7",I70,0)</f>
        <v>0</v>
      </c>
      <c r="V70" s="57">
        <f>IF(AG70="2",H70,0)</f>
        <v>0</v>
      </c>
      <c r="W70" s="57">
        <f>IF(AG70="2",I70,0)</f>
        <v>0</v>
      </c>
      <c r="X70" s="57">
        <f>IF(AG70="0",J70,0)</f>
        <v>0</v>
      </c>
      <c r="Y70" s="46"/>
      <c r="Z70" s="31">
        <f>IF(AD70=0,J70,0)</f>
        <v>0</v>
      </c>
      <c r="AA70" s="31">
        <f>IF(AD70=15,J70,0)</f>
        <v>0</v>
      </c>
      <c r="AB70" s="31">
        <f>IF(AD70=21,J70,0)</f>
        <v>0</v>
      </c>
      <c r="AD70" s="57">
        <v>21</v>
      </c>
      <c r="AE70" s="57">
        <f>G70*0</f>
        <v>0</v>
      </c>
      <c r="AF70" s="57">
        <f>G70*(1-0)</f>
        <v>0</v>
      </c>
      <c r="AG70" s="52" t="s">
        <v>13</v>
      </c>
      <c r="AM70" s="57">
        <f>F70*AE70</f>
        <v>0</v>
      </c>
      <c r="AN70" s="57">
        <f>F70*AF70</f>
        <v>0</v>
      </c>
      <c r="AO70" s="58" t="s">
        <v>419</v>
      </c>
      <c r="AP70" s="58" t="s">
        <v>430</v>
      </c>
      <c r="AQ70" s="46" t="s">
        <v>434</v>
      </c>
      <c r="AS70" s="57">
        <f>AM70+AN70</f>
        <v>0</v>
      </c>
      <c r="AT70" s="57">
        <f>G70/(100-AU70)*100</f>
        <v>0</v>
      </c>
      <c r="AU70" s="57">
        <v>0</v>
      </c>
      <c r="AV70" s="57">
        <f>L70</f>
        <v>0</v>
      </c>
    </row>
    <row r="71" spans="1:48" ht="12.75">
      <c r="A71" s="10" t="s">
        <v>61</v>
      </c>
      <c r="B71" s="10"/>
      <c r="C71" s="10" t="s">
        <v>180</v>
      </c>
      <c r="D71" s="10" t="s">
        <v>302</v>
      </c>
      <c r="E71" s="10" t="s">
        <v>375</v>
      </c>
      <c r="F71" s="31">
        <v>69</v>
      </c>
      <c r="G71" s="31">
        <v>0</v>
      </c>
      <c r="H71" s="31">
        <f>F71*AE71</f>
        <v>0</v>
      </c>
      <c r="I71" s="31">
        <f>J71-H71</f>
        <v>0</v>
      </c>
      <c r="J71" s="31">
        <f>F71*G71</f>
        <v>0</v>
      </c>
      <c r="K71" s="31">
        <v>0</v>
      </c>
      <c r="L71" s="31">
        <f>F71*K71</f>
        <v>0</v>
      </c>
      <c r="M71" s="52" t="s">
        <v>405</v>
      </c>
      <c r="P71" s="57">
        <f>IF(AG71="5",J71,0)</f>
        <v>0</v>
      </c>
      <c r="R71" s="57">
        <f>IF(AG71="1",H71,0)</f>
        <v>0</v>
      </c>
      <c r="S71" s="57">
        <f>IF(AG71="1",I71,0)</f>
        <v>0</v>
      </c>
      <c r="T71" s="57">
        <f>IF(AG71="7",H71,0)</f>
        <v>0</v>
      </c>
      <c r="U71" s="57">
        <f>IF(AG71="7",I71,0)</f>
        <v>0</v>
      </c>
      <c r="V71" s="57">
        <f>IF(AG71="2",H71,0)</f>
        <v>0</v>
      </c>
      <c r="W71" s="57">
        <f>IF(AG71="2",I71,0)</f>
        <v>0</v>
      </c>
      <c r="X71" s="57">
        <f>IF(AG71="0",J71,0)</f>
        <v>0</v>
      </c>
      <c r="Y71" s="46"/>
      <c r="Z71" s="31">
        <f>IF(AD71=0,J71,0)</f>
        <v>0</v>
      </c>
      <c r="AA71" s="31">
        <f>IF(AD71=15,J71,0)</f>
        <v>0</v>
      </c>
      <c r="AB71" s="31">
        <f>IF(AD71=21,J71,0)</f>
        <v>0</v>
      </c>
      <c r="AD71" s="57">
        <v>21</v>
      </c>
      <c r="AE71" s="57">
        <f>G71*0</f>
        <v>0</v>
      </c>
      <c r="AF71" s="57">
        <f>G71*(1-0)</f>
        <v>0</v>
      </c>
      <c r="AG71" s="52" t="s">
        <v>13</v>
      </c>
      <c r="AM71" s="57">
        <f>F71*AE71</f>
        <v>0</v>
      </c>
      <c r="AN71" s="57">
        <f>F71*AF71</f>
        <v>0</v>
      </c>
      <c r="AO71" s="58" t="s">
        <v>419</v>
      </c>
      <c r="AP71" s="58" t="s">
        <v>430</v>
      </c>
      <c r="AQ71" s="46" t="s">
        <v>434</v>
      </c>
      <c r="AS71" s="57">
        <f>AM71+AN71</f>
        <v>0</v>
      </c>
      <c r="AT71" s="57">
        <f>G71/(100-AU71)*100</f>
        <v>0</v>
      </c>
      <c r="AU71" s="57">
        <v>0</v>
      </c>
      <c r="AV71" s="57">
        <f>L71</f>
        <v>0</v>
      </c>
    </row>
    <row r="72" spans="1:48" ht="12.75">
      <c r="A72" s="10" t="s">
        <v>62</v>
      </c>
      <c r="B72" s="10"/>
      <c r="C72" s="10" t="s">
        <v>181</v>
      </c>
      <c r="D72" s="10" t="s">
        <v>303</v>
      </c>
      <c r="E72" s="10" t="s">
        <v>375</v>
      </c>
      <c r="F72" s="31">
        <v>9</v>
      </c>
      <c r="G72" s="31">
        <v>0</v>
      </c>
      <c r="H72" s="31">
        <f>F72*AE72</f>
        <v>0</v>
      </c>
      <c r="I72" s="31">
        <f>J72-H72</f>
        <v>0</v>
      </c>
      <c r="J72" s="31">
        <f>F72*G72</f>
        <v>0</v>
      </c>
      <c r="K72" s="31">
        <v>0.00012</v>
      </c>
      <c r="L72" s="31">
        <f>F72*K72</f>
        <v>0.00108</v>
      </c>
      <c r="M72" s="52" t="s">
        <v>405</v>
      </c>
      <c r="P72" s="57">
        <f>IF(AG72="5",J72,0)</f>
        <v>0</v>
      </c>
      <c r="R72" s="57">
        <f>IF(AG72="1",H72,0)</f>
        <v>0</v>
      </c>
      <c r="S72" s="57">
        <f>IF(AG72="1",I72,0)</f>
        <v>0</v>
      </c>
      <c r="T72" s="57">
        <f>IF(AG72="7",H72,0)</f>
        <v>0</v>
      </c>
      <c r="U72" s="57">
        <f>IF(AG72="7",I72,0)</f>
        <v>0</v>
      </c>
      <c r="V72" s="57">
        <f>IF(AG72="2",H72,0)</f>
        <v>0</v>
      </c>
      <c r="W72" s="57">
        <f>IF(AG72="2",I72,0)</f>
        <v>0</v>
      </c>
      <c r="X72" s="57">
        <f>IF(AG72="0",J72,0)</f>
        <v>0</v>
      </c>
      <c r="Y72" s="46"/>
      <c r="Z72" s="31">
        <f>IF(AD72=0,J72,0)</f>
        <v>0</v>
      </c>
      <c r="AA72" s="31">
        <f>IF(AD72=15,J72,0)</f>
        <v>0</v>
      </c>
      <c r="AB72" s="31">
        <f>IF(AD72=21,J72,0)</f>
        <v>0</v>
      </c>
      <c r="AD72" s="57">
        <v>21</v>
      </c>
      <c r="AE72" s="57">
        <f>G72*0.672694532776522</f>
        <v>0</v>
      </c>
      <c r="AF72" s="57">
        <f>G72*(1-0.672694532776522)</f>
        <v>0</v>
      </c>
      <c r="AG72" s="52" t="s">
        <v>13</v>
      </c>
      <c r="AM72" s="57">
        <f>F72*AE72</f>
        <v>0</v>
      </c>
      <c r="AN72" s="57">
        <f>F72*AF72</f>
        <v>0</v>
      </c>
      <c r="AO72" s="58" t="s">
        <v>419</v>
      </c>
      <c r="AP72" s="58" t="s">
        <v>430</v>
      </c>
      <c r="AQ72" s="46" t="s">
        <v>434</v>
      </c>
      <c r="AS72" s="57">
        <f>AM72+AN72</f>
        <v>0</v>
      </c>
      <c r="AT72" s="57">
        <f>G72/(100-AU72)*100</f>
        <v>0</v>
      </c>
      <c r="AU72" s="57">
        <v>0</v>
      </c>
      <c r="AV72" s="57">
        <f>L72</f>
        <v>0.00108</v>
      </c>
    </row>
    <row r="73" spans="1:48" ht="12.75">
      <c r="A73" s="10" t="s">
        <v>63</v>
      </c>
      <c r="B73" s="10"/>
      <c r="C73" s="10" t="s">
        <v>182</v>
      </c>
      <c r="D73" s="10" t="s">
        <v>304</v>
      </c>
      <c r="E73" s="10" t="s">
        <v>375</v>
      </c>
      <c r="F73" s="31">
        <v>2</v>
      </c>
      <c r="G73" s="31">
        <v>0</v>
      </c>
      <c r="H73" s="31">
        <f>F73*AE73</f>
        <v>0</v>
      </c>
      <c r="I73" s="31">
        <f>J73-H73</f>
        <v>0</v>
      </c>
      <c r="J73" s="31">
        <f>F73*G73</f>
        <v>0</v>
      </c>
      <c r="K73" s="31">
        <v>0.00013</v>
      </c>
      <c r="L73" s="31">
        <f>F73*K73</f>
        <v>0.00026</v>
      </c>
      <c r="M73" s="52" t="s">
        <v>405</v>
      </c>
      <c r="P73" s="57">
        <f>IF(AG73="5",J73,0)</f>
        <v>0</v>
      </c>
      <c r="R73" s="57">
        <f>IF(AG73="1",H73,0)</f>
        <v>0</v>
      </c>
      <c r="S73" s="57">
        <f>IF(AG73="1",I73,0)</f>
        <v>0</v>
      </c>
      <c r="T73" s="57">
        <f>IF(AG73="7",H73,0)</f>
        <v>0</v>
      </c>
      <c r="U73" s="57">
        <f>IF(AG73="7",I73,0)</f>
        <v>0</v>
      </c>
      <c r="V73" s="57">
        <f>IF(AG73="2",H73,0)</f>
        <v>0</v>
      </c>
      <c r="W73" s="57">
        <f>IF(AG73="2",I73,0)</f>
        <v>0</v>
      </c>
      <c r="X73" s="57">
        <f>IF(AG73="0",J73,0)</f>
        <v>0</v>
      </c>
      <c r="Y73" s="46"/>
      <c r="Z73" s="31">
        <f>IF(AD73=0,J73,0)</f>
        <v>0</v>
      </c>
      <c r="AA73" s="31">
        <f>IF(AD73=15,J73,0)</f>
        <v>0</v>
      </c>
      <c r="AB73" s="31">
        <f>IF(AD73=21,J73,0)</f>
        <v>0</v>
      </c>
      <c r="AD73" s="57">
        <v>21</v>
      </c>
      <c r="AE73" s="57">
        <f>G73*0.715951293759513</f>
        <v>0</v>
      </c>
      <c r="AF73" s="57">
        <f>G73*(1-0.715951293759513)</f>
        <v>0</v>
      </c>
      <c r="AG73" s="52" t="s">
        <v>13</v>
      </c>
      <c r="AM73" s="57">
        <f>F73*AE73</f>
        <v>0</v>
      </c>
      <c r="AN73" s="57">
        <f>F73*AF73</f>
        <v>0</v>
      </c>
      <c r="AO73" s="58" t="s">
        <v>419</v>
      </c>
      <c r="AP73" s="58" t="s">
        <v>430</v>
      </c>
      <c r="AQ73" s="46" t="s">
        <v>434</v>
      </c>
      <c r="AS73" s="57">
        <f>AM73+AN73</f>
        <v>0</v>
      </c>
      <c r="AT73" s="57">
        <f>G73/(100-AU73)*100</f>
        <v>0</v>
      </c>
      <c r="AU73" s="57">
        <v>0</v>
      </c>
      <c r="AV73" s="57">
        <f>L73</f>
        <v>0.00026</v>
      </c>
    </row>
    <row r="74" spans="1:48" ht="12.75">
      <c r="A74" s="10" t="s">
        <v>64</v>
      </c>
      <c r="B74" s="10"/>
      <c r="C74" s="10" t="s">
        <v>183</v>
      </c>
      <c r="D74" s="10" t="s">
        <v>305</v>
      </c>
      <c r="E74" s="10" t="s">
        <v>375</v>
      </c>
      <c r="F74" s="31">
        <v>5</v>
      </c>
      <c r="G74" s="31">
        <v>0</v>
      </c>
      <c r="H74" s="31">
        <f>F74*AE74</f>
        <v>0</v>
      </c>
      <c r="I74" s="31">
        <f>J74-H74</f>
        <v>0</v>
      </c>
      <c r="J74" s="31">
        <f>F74*G74</f>
        <v>0</v>
      </c>
      <c r="K74" s="31">
        <v>0.00023</v>
      </c>
      <c r="L74" s="31">
        <f>F74*K74</f>
        <v>0.00115</v>
      </c>
      <c r="M74" s="52" t="s">
        <v>405</v>
      </c>
      <c r="P74" s="57">
        <f>IF(AG74="5",J74,0)</f>
        <v>0</v>
      </c>
      <c r="R74" s="57">
        <f>IF(AG74="1",H74,0)</f>
        <v>0</v>
      </c>
      <c r="S74" s="57">
        <f>IF(AG74="1",I74,0)</f>
        <v>0</v>
      </c>
      <c r="T74" s="57">
        <f>IF(AG74="7",H74,0)</f>
        <v>0</v>
      </c>
      <c r="U74" s="57">
        <f>IF(AG74="7",I74,0)</f>
        <v>0</v>
      </c>
      <c r="V74" s="57">
        <f>IF(AG74="2",H74,0)</f>
        <v>0</v>
      </c>
      <c r="W74" s="57">
        <f>IF(AG74="2",I74,0)</f>
        <v>0</v>
      </c>
      <c r="X74" s="57">
        <f>IF(AG74="0",J74,0)</f>
        <v>0</v>
      </c>
      <c r="Y74" s="46"/>
      <c r="Z74" s="31">
        <f>IF(AD74=0,J74,0)</f>
        <v>0</v>
      </c>
      <c r="AA74" s="31">
        <f>IF(AD74=15,J74,0)</f>
        <v>0</v>
      </c>
      <c r="AB74" s="31">
        <f>IF(AD74=21,J74,0)</f>
        <v>0</v>
      </c>
      <c r="AD74" s="57">
        <v>21</v>
      </c>
      <c r="AE74" s="57">
        <f>G74*0.750909090909091</f>
        <v>0</v>
      </c>
      <c r="AF74" s="57">
        <f>G74*(1-0.750909090909091)</f>
        <v>0</v>
      </c>
      <c r="AG74" s="52" t="s">
        <v>13</v>
      </c>
      <c r="AM74" s="57">
        <f>F74*AE74</f>
        <v>0</v>
      </c>
      <c r="AN74" s="57">
        <f>F74*AF74</f>
        <v>0</v>
      </c>
      <c r="AO74" s="58" t="s">
        <v>419</v>
      </c>
      <c r="AP74" s="58" t="s">
        <v>430</v>
      </c>
      <c r="AQ74" s="46" t="s">
        <v>434</v>
      </c>
      <c r="AS74" s="57">
        <f>AM74+AN74</f>
        <v>0</v>
      </c>
      <c r="AT74" s="57">
        <f>G74/(100-AU74)*100</f>
        <v>0</v>
      </c>
      <c r="AU74" s="57">
        <v>0</v>
      </c>
      <c r="AV74" s="57">
        <f>L74</f>
        <v>0.00115</v>
      </c>
    </row>
    <row r="75" spans="1:48" ht="12.75">
      <c r="A75" s="10" t="s">
        <v>65</v>
      </c>
      <c r="B75" s="10"/>
      <c r="C75" s="10" t="s">
        <v>184</v>
      </c>
      <c r="D75" s="10" t="s">
        <v>306</v>
      </c>
      <c r="E75" s="10" t="s">
        <v>375</v>
      </c>
      <c r="F75" s="31">
        <v>3</v>
      </c>
      <c r="G75" s="31">
        <v>0</v>
      </c>
      <c r="H75" s="31">
        <f>F75*AE75</f>
        <v>0</v>
      </c>
      <c r="I75" s="31">
        <f>J75-H75</f>
        <v>0</v>
      </c>
      <c r="J75" s="31">
        <f>F75*G75</f>
        <v>0</v>
      </c>
      <c r="K75" s="31">
        <v>0.00038</v>
      </c>
      <c r="L75" s="31">
        <f>F75*K75</f>
        <v>0.00114</v>
      </c>
      <c r="M75" s="52" t="s">
        <v>405</v>
      </c>
      <c r="P75" s="57">
        <f>IF(AG75="5",J75,0)</f>
        <v>0</v>
      </c>
      <c r="R75" s="57">
        <f>IF(AG75="1",H75,0)</f>
        <v>0</v>
      </c>
      <c r="S75" s="57">
        <f>IF(AG75="1",I75,0)</f>
        <v>0</v>
      </c>
      <c r="T75" s="57">
        <f>IF(AG75="7",H75,0)</f>
        <v>0</v>
      </c>
      <c r="U75" s="57">
        <f>IF(AG75="7",I75,0)</f>
        <v>0</v>
      </c>
      <c r="V75" s="57">
        <f>IF(AG75="2",H75,0)</f>
        <v>0</v>
      </c>
      <c r="W75" s="57">
        <f>IF(AG75="2",I75,0)</f>
        <v>0</v>
      </c>
      <c r="X75" s="57">
        <f>IF(AG75="0",J75,0)</f>
        <v>0</v>
      </c>
      <c r="Y75" s="46"/>
      <c r="Z75" s="31">
        <f>IF(AD75=0,J75,0)</f>
        <v>0</v>
      </c>
      <c r="AA75" s="31">
        <f>IF(AD75=15,J75,0)</f>
        <v>0</v>
      </c>
      <c r="AB75" s="31">
        <f>IF(AD75=21,J75,0)</f>
        <v>0</v>
      </c>
      <c r="AD75" s="57">
        <v>21</v>
      </c>
      <c r="AE75" s="57">
        <f>G75*0.798915094339623</f>
        <v>0</v>
      </c>
      <c r="AF75" s="57">
        <f>G75*(1-0.798915094339623)</f>
        <v>0</v>
      </c>
      <c r="AG75" s="52" t="s">
        <v>13</v>
      </c>
      <c r="AM75" s="57">
        <f>F75*AE75</f>
        <v>0</v>
      </c>
      <c r="AN75" s="57">
        <f>F75*AF75</f>
        <v>0</v>
      </c>
      <c r="AO75" s="58" t="s">
        <v>419</v>
      </c>
      <c r="AP75" s="58" t="s">
        <v>430</v>
      </c>
      <c r="AQ75" s="46" t="s">
        <v>434</v>
      </c>
      <c r="AS75" s="57">
        <f>AM75+AN75</f>
        <v>0</v>
      </c>
      <c r="AT75" s="57">
        <f>G75/(100-AU75)*100</f>
        <v>0</v>
      </c>
      <c r="AU75" s="57">
        <v>0</v>
      </c>
      <c r="AV75" s="57">
        <f>L75</f>
        <v>0.00114</v>
      </c>
    </row>
    <row r="76" spans="1:48" ht="12.75">
      <c r="A76" s="10" t="s">
        <v>66</v>
      </c>
      <c r="B76" s="10"/>
      <c r="C76" s="10" t="s">
        <v>185</v>
      </c>
      <c r="D76" s="10" t="s">
        <v>307</v>
      </c>
      <c r="E76" s="10" t="s">
        <v>375</v>
      </c>
      <c r="F76" s="31">
        <v>1</v>
      </c>
      <c r="G76" s="31">
        <v>0</v>
      </c>
      <c r="H76" s="31">
        <f>F76*AE76</f>
        <v>0</v>
      </c>
      <c r="I76" s="31">
        <f>J76-H76</f>
        <v>0</v>
      </c>
      <c r="J76" s="31">
        <f>F76*G76</f>
        <v>0</v>
      </c>
      <c r="K76" s="31">
        <v>0.00061</v>
      </c>
      <c r="L76" s="31">
        <f>F76*K76</f>
        <v>0.00061</v>
      </c>
      <c r="M76" s="52" t="s">
        <v>405</v>
      </c>
      <c r="P76" s="57">
        <f>IF(AG76="5",J76,0)</f>
        <v>0</v>
      </c>
      <c r="R76" s="57">
        <f>IF(AG76="1",H76,0)</f>
        <v>0</v>
      </c>
      <c r="S76" s="57">
        <f>IF(AG76="1",I76,0)</f>
        <v>0</v>
      </c>
      <c r="T76" s="57">
        <f>IF(AG76="7",H76,0)</f>
        <v>0</v>
      </c>
      <c r="U76" s="57">
        <f>IF(AG76="7",I76,0)</f>
        <v>0</v>
      </c>
      <c r="V76" s="57">
        <f>IF(AG76="2",H76,0)</f>
        <v>0</v>
      </c>
      <c r="W76" s="57">
        <f>IF(AG76="2",I76,0)</f>
        <v>0</v>
      </c>
      <c r="X76" s="57">
        <f>IF(AG76="0",J76,0)</f>
        <v>0</v>
      </c>
      <c r="Y76" s="46"/>
      <c r="Z76" s="31">
        <f>IF(AD76=0,J76,0)</f>
        <v>0</v>
      </c>
      <c r="AA76" s="31">
        <f>IF(AD76=15,J76,0)</f>
        <v>0</v>
      </c>
      <c r="AB76" s="31">
        <f>IF(AD76=21,J76,0)</f>
        <v>0</v>
      </c>
      <c r="AD76" s="57">
        <v>21</v>
      </c>
      <c r="AE76" s="57">
        <f>G76*0.830019102495851</f>
        <v>0</v>
      </c>
      <c r="AF76" s="57">
        <f>G76*(1-0.830019102495851)</f>
        <v>0</v>
      </c>
      <c r="AG76" s="52" t="s">
        <v>13</v>
      </c>
      <c r="AM76" s="57">
        <f>F76*AE76</f>
        <v>0</v>
      </c>
      <c r="AN76" s="57">
        <f>F76*AF76</f>
        <v>0</v>
      </c>
      <c r="AO76" s="58" t="s">
        <v>419</v>
      </c>
      <c r="AP76" s="58" t="s">
        <v>430</v>
      </c>
      <c r="AQ76" s="46" t="s">
        <v>434</v>
      </c>
      <c r="AS76" s="57">
        <f>AM76+AN76</f>
        <v>0</v>
      </c>
      <c r="AT76" s="57">
        <f>G76/(100-AU76)*100</f>
        <v>0</v>
      </c>
      <c r="AU76" s="57">
        <v>0</v>
      </c>
      <c r="AV76" s="57">
        <f>L76</f>
        <v>0.00061</v>
      </c>
    </row>
    <row r="77" spans="1:48" ht="12.75">
      <c r="A77" s="10" t="s">
        <v>67</v>
      </c>
      <c r="B77" s="10"/>
      <c r="C77" s="10" t="s">
        <v>186</v>
      </c>
      <c r="D77" s="10" t="s">
        <v>308</v>
      </c>
      <c r="E77" s="10" t="s">
        <v>375</v>
      </c>
      <c r="F77" s="31">
        <v>1</v>
      </c>
      <c r="G77" s="31">
        <v>0</v>
      </c>
      <c r="H77" s="31">
        <f>F77*AE77</f>
        <v>0</v>
      </c>
      <c r="I77" s="31">
        <f>J77-H77</f>
        <v>0</v>
      </c>
      <c r="J77" s="31">
        <f>F77*G77</f>
        <v>0</v>
      </c>
      <c r="K77" s="31">
        <v>0.00096</v>
      </c>
      <c r="L77" s="31">
        <f>F77*K77</f>
        <v>0.00096</v>
      </c>
      <c r="M77" s="52" t="s">
        <v>405</v>
      </c>
      <c r="P77" s="57">
        <f>IF(AG77="5",J77,0)</f>
        <v>0</v>
      </c>
      <c r="R77" s="57">
        <f>IF(AG77="1",H77,0)</f>
        <v>0</v>
      </c>
      <c r="S77" s="57">
        <f>IF(AG77="1",I77,0)</f>
        <v>0</v>
      </c>
      <c r="T77" s="57">
        <f>IF(AG77="7",H77,0)</f>
        <v>0</v>
      </c>
      <c r="U77" s="57">
        <f>IF(AG77="7",I77,0)</f>
        <v>0</v>
      </c>
      <c r="V77" s="57">
        <f>IF(AG77="2",H77,0)</f>
        <v>0</v>
      </c>
      <c r="W77" s="57">
        <f>IF(AG77="2",I77,0)</f>
        <v>0</v>
      </c>
      <c r="X77" s="57">
        <f>IF(AG77="0",J77,0)</f>
        <v>0</v>
      </c>
      <c r="Y77" s="46"/>
      <c r="Z77" s="31">
        <f>IF(AD77=0,J77,0)</f>
        <v>0</v>
      </c>
      <c r="AA77" s="31">
        <f>IF(AD77=15,J77,0)</f>
        <v>0</v>
      </c>
      <c r="AB77" s="31">
        <f>IF(AD77=21,J77,0)</f>
        <v>0</v>
      </c>
      <c r="AD77" s="57">
        <v>21</v>
      </c>
      <c r="AE77" s="57">
        <f>G77*0.851434038842892</f>
        <v>0</v>
      </c>
      <c r="AF77" s="57">
        <f>G77*(1-0.851434038842892)</f>
        <v>0</v>
      </c>
      <c r="AG77" s="52" t="s">
        <v>13</v>
      </c>
      <c r="AM77" s="57">
        <f>F77*AE77</f>
        <v>0</v>
      </c>
      <c r="AN77" s="57">
        <f>F77*AF77</f>
        <v>0</v>
      </c>
      <c r="AO77" s="58" t="s">
        <v>419</v>
      </c>
      <c r="AP77" s="58" t="s">
        <v>430</v>
      </c>
      <c r="AQ77" s="46" t="s">
        <v>434</v>
      </c>
      <c r="AS77" s="57">
        <f>AM77+AN77</f>
        <v>0</v>
      </c>
      <c r="AT77" s="57">
        <f>G77/(100-AU77)*100</f>
        <v>0</v>
      </c>
      <c r="AU77" s="57">
        <v>0</v>
      </c>
      <c r="AV77" s="57">
        <f>L77</f>
        <v>0.00096</v>
      </c>
    </row>
    <row r="78" spans="1:48" ht="12.75">
      <c r="A78" s="10" t="s">
        <v>68</v>
      </c>
      <c r="B78" s="10"/>
      <c r="C78" s="10" t="s">
        <v>187</v>
      </c>
      <c r="D78" s="10" t="s">
        <v>309</v>
      </c>
      <c r="E78" s="10" t="s">
        <v>376</v>
      </c>
      <c r="F78" s="31">
        <v>456</v>
      </c>
      <c r="G78" s="31">
        <v>0</v>
      </c>
      <c r="H78" s="31">
        <f>F78*AE78</f>
        <v>0</v>
      </c>
      <c r="I78" s="31">
        <f>J78-H78</f>
        <v>0</v>
      </c>
      <c r="J78" s="31">
        <f>F78*G78</f>
        <v>0</v>
      </c>
      <c r="K78" s="31">
        <v>0.0067</v>
      </c>
      <c r="L78" s="31">
        <f>F78*K78</f>
        <v>3.0552</v>
      </c>
      <c r="M78" s="52" t="s">
        <v>405</v>
      </c>
      <c r="P78" s="57">
        <f>IF(AG78="5",J78,0)</f>
        <v>0</v>
      </c>
      <c r="R78" s="57">
        <f>IF(AG78="1",H78,0)</f>
        <v>0</v>
      </c>
      <c r="S78" s="57">
        <f>IF(AG78="1",I78,0)</f>
        <v>0</v>
      </c>
      <c r="T78" s="57">
        <f>IF(AG78="7",H78,0)</f>
        <v>0</v>
      </c>
      <c r="U78" s="57">
        <f>IF(AG78="7",I78,0)</f>
        <v>0</v>
      </c>
      <c r="V78" s="57">
        <f>IF(AG78="2",H78,0)</f>
        <v>0</v>
      </c>
      <c r="W78" s="57">
        <f>IF(AG78="2",I78,0)</f>
        <v>0</v>
      </c>
      <c r="X78" s="57">
        <f>IF(AG78="0",J78,0)</f>
        <v>0</v>
      </c>
      <c r="Y78" s="46"/>
      <c r="Z78" s="31">
        <f>IF(AD78=0,J78,0)</f>
        <v>0</v>
      </c>
      <c r="AA78" s="31">
        <f>IF(AD78=15,J78,0)</f>
        <v>0</v>
      </c>
      <c r="AB78" s="31">
        <f>IF(AD78=21,J78,0)</f>
        <v>0</v>
      </c>
      <c r="AD78" s="57">
        <v>21</v>
      </c>
      <c r="AE78" s="57">
        <f>G78*0</f>
        <v>0</v>
      </c>
      <c r="AF78" s="57">
        <f>G78*(1-0)</f>
        <v>0</v>
      </c>
      <c r="AG78" s="52" t="s">
        <v>13</v>
      </c>
      <c r="AM78" s="57">
        <f>F78*AE78</f>
        <v>0</v>
      </c>
      <c r="AN78" s="57">
        <f>F78*AF78</f>
        <v>0</v>
      </c>
      <c r="AO78" s="58" t="s">
        <v>419</v>
      </c>
      <c r="AP78" s="58" t="s">
        <v>430</v>
      </c>
      <c r="AQ78" s="46" t="s">
        <v>434</v>
      </c>
      <c r="AS78" s="57">
        <f>AM78+AN78</f>
        <v>0</v>
      </c>
      <c r="AT78" s="57">
        <f>G78/(100-AU78)*100</f>
        <v>0</v>
      </c>
      <c r="AU78" s="57">
        <v>0</v>
      </c>
      <c r="AV78" s="57">
        <f>L78</f>
        <v>3.0552</v>
      </c>
    </row>
    <row r="79" spans="1:48" ht="12.75">
      <c r="A79" s="10" t="s">
        <v>69</v>
      </c>
      <c r="B79" s="10"/>
      <c r="C79" s="10" t="s">
        <v>188</v>
      </c>
      <c r="D79" s="10" t="s">
        <v>310</v>
      </c>
      <c r="E79" s="10" t="s">
        <v>376</v>
      </c>
      <c r="F79" s="31">
        <v>412</v>
      </c>
      <c r="G79" s="31">
        <v>0</v>
      </c>
      <c r="H79" s="31">
        <f>F79*AE79</f>
        <v>0</v>
      </c>
      <c r="I79" s="31">
        <f>J79-H79</f>
        <v>0</v>
      </c>
      <c r="J79" s="31">
        <f>F79*G79</f>
        <v>0</v>
      </c>
      <c r="K79" s="31">
        <v>0</v>
      </c>
      <c r="L79" s="31">
        <f>F79*K79</f>
        <v>0</v>
      </c>
      <c r="M79" s="52" t="s">
        <v>405</v>
      </c>
      <c r="P79" s="57">
        <f>IF(AG79="5",J79,0)</f>
        <v>0</v>
      </c>
      <c r="R79" s="57">
        <f>IF(AG79="1",H79,0)</f>
        <v>0</v>
      </c>
      <c r="S79" s="57">
        <f>IF(AG79="1",I79,0)</f>
        <v>0</v>
      </c>
      <c r="T79" s="57">
        <f>IF(AG79="7",H79,0)</f>
        <v>0</v>
      </c>
      <c r="U79" s="57">
        <f>IF(AG79="7",I79,0)</f>
        <v>0</v>
      </c>
      <c r="V79" s="57">
        <f>IF(AG79="2",H79,0)</f>
        <v>0</v>
      </c>
      <c r="W79" s="57">
        <f>IF(AG79="2",I79,0)</f>
        <v>0</v>
      </c>
      <c r="X79" s="57">
        <f>IF(AG79="0",J79,0)</f>
        <v>0</v>
      </c>
      <c r="Y79" s="46"/>
      <c r="Z79" s="31">
        <f>IF(AD79=0,J79,0)</f>
        <v>0</v>
      </c>
      <c r="AA79" s="31">
        <f>IF(AD79=15,J79,0)</f>
        <v>0</v>
      </c>
      <c r="AB79" s="31">
        <f>IF(AD79=21,J79,0)</f>
        <v>0</v>
      </c>
      <c r="AD79" s="57">
        <v>21</v>
      </c>
      <c r="AE79" s="57">
        <f>G79*0.014766201804758</f>
        <v>0</v>
      </c>
      <c r="AF79" s="57">
        <f>G79*(1-0.014766201804758)</f>
        <v>0</v>
      </c>
      <c r="AG79" s="52" t="s">
        <v>13</v>
      </c>
      <c r="AM79" s="57">
        <f>F79*AE79</f>
        <v>0</v>
      </c>
      <c r="AN79" s="57">
        <f>F79*AF79</f>
        <v>0</v>
      </c>
      <c r="AO79" s="58" t="s">
        <v>419</v>
      </c>
      <c r="AP79" s="58" t="s">
        <v>430</v>
      </c>
      <c r="AQ79" s="46" t="s">
        <v>434</v>
      </c>
      <c r="AS79" s="57">
        <f>AM79+AN79</f>
        <v>0</v>
      </c>
      <c r="AT79" s="57">
        <f>G79/(100-AU79)*100</f>
        <v>0</v>
      </c>
      <c r="AU79" s="57">
        <v>0</v>
      </c>
      <c r="AV79" s="57">
        <f>L79</f>
        <v>0</v>
      </c>
    </row>
    <row r="80" spans="1:48" ht="12.75">
      <c r="A80" s="10" t="s">
        <v>70</v>
      </c>
      <c r="B80" s="10"/>
      <c r="C80" s="10" t="s">
        <v>189</v>
      </c>
      <c r="D80" s="10" t="s">
        <v>311</v>
      </c>
      <c r="E80" s="10" t="s">
        <v>376</v>
      </c>
      <c r="F80" s="31">
        <v>26</v>
      </c>
      <c r="G80" s="31">
        <v>0</v>
      </c>
      <c r="H80" s="31">
        <f>F80*AE80</f>
        <v>0</v>
      </c>
      <c r="I80" s="31">
        <f>J80-H80</f>
        <v>0</v>
      </c>
      <c r="J80" s="31">
        <f>F80*G80</f>
        <v>0</v>
      </c>
      <c r="K80" s="31">
        <v>0</v>
      </c>
      <c r="L80" s="31">
        <f>F80*K80</f>
        <v>0</v>
      </c>
      <c r="M80" s="52" t="s">
        <v>405</v>
      </c>
      <c r="P80" s="57">
        <f>IF(AG80="5",J80,0)</f>
        <v>0</v>
      </c>
      <c r="R80" s="57">
        <f>IF(AG80="1",H80,0)</f>
        <v>0</v>
      </c>
      <c r="S80" s="57">
        <f>IF(AG80="1",I80,0)</f>
        <v>0</v>
      </c>
      <c r="T80" s="57">
        <f>IF(AG80="7",H80,0)</f>
        <v>0</v>
      </c>
      <c r="U80" s="57">
        <f>IF(AG80="7",I80,0)</f>
        <v>0</v>
      </c>
      <c r="V80" s="57">
        <f>IF(AG80="2",H80,0)</f>
        <v>0</v>
      </c>
      <c r="W80" s="57">
        <f>IF(AG80="2",I80,0)</f>
        <v>0</v>
      </c>
      <c r="X80" s="57">
        <f>IF(AG80="0",J80,0)</f>
        <v>0</v>
      </c>
      <c r="Y80" s="46"/>
      <c r="Z80" s="31">
        <f>IF(AD80=0,J80,0)</f>
        <v>0</v>
      </c>
      <c r="AA80" s="31">
        <f>IF(AD80=15,J80,0)</f>
        <v>0</v>
      </c>
      <c r="AB80" s="31">
        <f>IF(AD80=21,J80,0)</f>
        <v>0</v>
      </c>
      <c r="AD80" s="57">
        <v>21</v>
      </c>
      <c r="AE80" s="57">
        <f>G80*0.0160183066361556</f>
        <v>0</v>
      </c>
      <c r="AF80" s="57">
        <f>G80*(1-0.0160183066361556)</f>
        <v>0</v>
      </c>
      <c r="AG80" s="52" t="s">
        <v>13</v>
      </c>
      <c r="AM80" s="57">
        <f>F80*AE80</f>
        <v>0</v>
      </c>
      <c r="AN80" s="57">
        <f>F80*AF80</f>
        <v>0</v>
      </c>
      <c r="AO80" s="58" t="s">
        <v>419</v>
      </c>
      <c r="AP80" s="58" t="s">
        <v>430</v>
      </c>
      <c r="AQ80" s="46" t="s">
        <v>434</v>
      </c>
      <c r="AS80" s="57">
        <f>AM80+AN80</f>
        <v>0</v>
      </c>
      <c r="AT80" s="57">
        <f>G80/(100-AU80)*100</f>
        <v>0</v>
      </c>
      <c r="AU80" s="57">
        <v>0</v>
      </c>
      <c r="AV80" s="57">
        <f>L80</f>
        <v>0</v>
      </c>
    </row>
    <row r="81" spans="1:48" ht="12.75">
      <c r="A81" s="10" t="s">
        <v>71</v>
      </c>
      <c r="B81" s="10"/>
      <c r="C81" s="10" t="s">
        <v>190</v>
      </c>
      <c r="D81" s="10" t="s">
        <v>312</v>
      </c>
      <c r="E81" s="10" t="s">
        <v>376</v>
      </c>
      <c r="F81" s="31">
        <v>18</v>
      </c>
      <c r="G81" s="31">
        <v>0</v>
      </c>
      <c r="H81" s="31">
        <f>F81*AE81</f>
        <v>0</v>
      </c>
      <c r="I81" s="31">
        <f>J81-H81</f>
        <v>0</v>
      </c>
      <c r="J81" s="31">
        <f>F81*G81</f>
        <v>0</v>
      </c>
      <c r="K81" s="31">
        <v>0</v>
      </c>
      <c r="L81" s="31">
        <f>F81*K81</f>
        <v>0</v>
      </c>
      <c r="M81" s="52" t="s">
        <v>405</v>
      </c>
      <c r="P81" s="57">
        <f>IF(AG81="5",J81,0)</f>
        <v>0</v>
      </c>
      <c r="R81" s="57">
        <f>IF(AG81="1",H81,0)</f>
        <v>0</v>
      </c>
      <c r="S81" s="57">
        <f>IF(AG81="1",I81,0)</f>
        <v>0</v>
      </c>
      <c r="T81" s="57">
        <f>IF(AG81="7",H81,0)</f>
        <v>0</v>
      </c>
      <c r="U81" s="57">
        <f>IF(AG81="7",I81,0)</f>
        <v>0</v>
      </c>
      <c r="V81" s="57">
        <f>IF(AG81="2",H81,0)</f>
        <v>0</v>
      </c>
      <c r="W81" s="57">
        <f>IF(AG81="2",I81,0)</f>
        <v>0</v>
      </c>
      <c r="X81" s="57">
        <f>IF(AG81="0",J81,0)</f>
        <v>0</v>
      </c>
      <c r="Y81" s="46"/>
      <c r="Z81" s="31">
        <f>IF(AD81=0,J81,0)</f>
        <v>0</v>
      </c>
      <c r="AA81" s="31">
        <f>IF(AD81=15,J81,0)</f>
        <v>0</v>
      </c>
      <c r="AB81" s="31">
        <f>IF(AD81=21,J81,0)</f>
        <v>0</v>
      </c>
      <c r="AD81" s="57">
        <v>21</v>
      </c>
      <c r="AE81" s="57">
        <f>G81*0.0192090395480226</f>
        <v>0</v>
      </c>
      <c r="AF81" s="57">
        <f>G81*(1-0.0192090395480226)</f>
        <v>0</v>
      </c>
      <c r="AG81" s="52" t="s">
        <v>13</v>
      </c>
      <c r="AM81" s="57">
        <f>F81*AE81</f>
        <v>0</v>
      </c>
      <c r="AN81" s="57">
        <f>F81*AF81</f>
        <v>0</v>
      </c>
      <c r="AO81" s="58" t="s">
        <v>419</v>
      </c>
      <c r="AP81" s="58" t="s">
        <v>430</v>
      </c>
      <c r="AQ81" s="46" t="s">
        <v>434</v>
      </c>
      <c r="AS81" s="57">
        <f>AM81+AN81</f>
        <v>0</v>
      </c>
      <c r="AT81" s="57">
        <f>G81/(100-AU81)*100</f>
        <v>0</v>
      </c>
      <c r="AU81" s="57">
        <v>0</v>
      </c>
      <c r="AV81" s="57">
        <f>L81</f>
        <v>0</v>
      </c>
    </row>
    <row r="82" spans="1:48" ht="12.75">
      <c r="A82" s="10" t="s">
        <v>72</v>
      </c>
      <c r="B82" s="10"/>
      <c r="C82" s="10" t="s">
        <v>191</v>
      </c>
      <c r="D82" s="10" t="s">
        <v>313</v>
      </c>
      <c r="E82" s="10" t="s">
        <v>376</v>
      </c>
      <c r="F82" s="31">
        <v>456</v>
      </c>
      <c r="G82" s="31">
        <v>0</v>
      </c>
      <c r="H82" s="31">
        <f>F82*AE82</f>
        <v>0</v>
      </c>
      <c r="I82" s="31">
        <f>J82-H82</f>
        <v>0</v>
      </c>
      <c r="J82" s="31">
        <f>F82*G82</f>
        <v>0</v>
      </c>
      <c r="K82" s="31">
        <v>1E-05</v>
      </c>
      <c r="L82" s="31">
        <f>F82*K82</f>
        <v>0.004560000000000001</v>
      </c>
      <c r="M82" s="52" t="s">
        <v>405</v>
      </c>
      <c r="P82" s="57">
        <f>IF(AG82="5",J82,0)</f>
        <v>0</v>
      </c>
      <c r="R82" s="57">
        <f>IF(AG82="1",H82,0)</f>
        <v>0</v>
      </c>
      <c r="S82" s="57">
        <f>IF(AG82="1",I82,0)</f>
        <v>0</v>
      </c>
      <c r="T82" s="57">
        <f>IF(AG82="7",H82,0)</f>
        <v>0</v>
      </c>
      <c r="U82" s="57">
        <f>IF(AG82="7",I82,0)</f>
        <v>0</v>
      </c>
      <c r="V82" s="57">
        <f>IF(AG82="2",H82,0)</f>
        <v>0</v>
      </c>
      <c r="W82" s="57">
        <f>IF(AG82="2",I82,0)</f>
        <v>0</v>
      </c>
      <c r="X82" s="57">
        <f>IF(AG82="0",J82,0)</f>
        <v>0</v>
      </c>
      <c r="Y82" s="46"/>
      <c r="Z82" s="31">
        <f>IF(AD82=0,J82,0)</f>
        <v>0</v>
      </c>
      <c r="AA82" s="31">
        <f>IF(AD82=15,J82,0)</f>
        <v>0</v>
      </c>
      <c r="AB82" s="31">
        <f>IF(AD82=21,J82,0)</f>
        <v>0</v>
      </c>
      <c r="AD82" s="57">
        <v>21</v>
      </c>
      <c r="AE82" s="57">
        <f>G82*0.0535055350553505</f>
        <v>0</v>
      </c>
      <c r="AF82" s="57">
        <f>G82*(1-0.0535055350553505)</f>
        <v>0</v>
      </c>
      <c r="AG82" s="52" t="s">
        <v>13</v>
      </c>
      <c r="AM82" s="57">
        <f>F82*AE82</f>
        <v>0</v>
      </c>
      <c r="AN82" s="57">
        <f>F82*AF82</f>
        <v>0</v>
      </c>
      <c r="AO82" s="58" t="s">
        <v>419</v>
      </c>
      <c r="AP82" s="58" t="s">
        <v>430</v>
      </c>
      <c r="AQ82" s="46" t="s">
        <v>434</v>
      </c>
      <c r="AS82" s="57">
        <f>AM82+AN82</f>
        <v>0</v>
      </c>
      <c r="AT82" s="57">
        <f>G82/(100-AU82)*100</f>
        <v>0</v>
      </c>
      <c r="AU82" s="57">
        <v>0</v>
      </c>
      <c r="AV82" s="57">
        <f>L82</f>
        <v>0.004560000000000001</v>
      </c>
    </row>
    <row r="83" spans="1:48" ht="12.75">
      <c r="A83" s="10" t="s">
        <v>73</v>
      </c>
      <c r="B83" s="10"/>
      <c r="C83" s="10" t="s">
        <v>192</v>
      </c>
      <c r="D83" s="10" t="s">
        <v>314</v>
      </c>
      <c r="E83" s="10" t="s">
        <v>375</v>
      </c>
      <c r="F83" s="31">
        <v>12</v>
      </c>
      <c r="G83" s="31">
        <v>0</v>
      </c>
      <c r="H83" s="31">
        <f>F83*AE83</f>
        <v>0</v>
      </c>
      <c r="I83" s="31">
        <f>J83-H83</f>
        <v>0</v>
      </c>
      <c r="J83" s="31">
        <f>F83*G83</f>
        <v>0</v>
      </c>
      <c r="K83" s="31">
        <v>0</v>
      </c>
      <c r="L83" s="31">
        <f>F83*K83</f>
        <v>0</v>
      </c>
      <c r="M83" s="52" t="s">
        <v>405</v>
      </c>
      <c r="P83" s="57">
        <f>IF(AG83="5",J83,0)</f>
        <v>0</v>
      </c>
      <c r="R83" s="57">
        <f>IF(AG83="1",H83,0)</f>
        <v>0</v>
      </c>
      <c r="S83" s="57">
        <f>IF(AG83="1",I83,0)</f>
        <v>0</v>
      </c>
      <c r="T83" s="57">
        <f>IF(AG83="7",H83,0)</f>
        <v>0</v>
      </c>
      <c r="U83" s="57">
        <f>IF(AG83="7",I83,0)</f>
        <v>0</v>
      </c>
      <c r="V83" s="57">
        <f>IF(AG83="2",H83,0)</f>
        <v>0</v>
      </c>
      <c r="W83" s="57">
        <f>IF(AG83="2",I83,0)</f>
        <v>0</v>
      </c>
      <c r="X83" s="57">
        <f>IF(AG83="0",J83,0)</f>
        <v>0</v>
      </c>
      <c r="Y83" s="46"/>
      <c r="Z83" s="31">
        <f>IF(AD83=0,J83,0)</f>
        <v>0</v>
      </c>
      <c r="AA83" s="31">
        <f>IF(AD83=15,J83,0)</f>
        <v>0</v>
      </c>
      <c r="AB83" s="31">
        <f>IF(AD83=21,J83,0)</f>
        <v>0</v>
      </c>
      <c r="AD83" s="57">
        <v>21</v>
      </c>
      <c r="AE83" s="57">
        <f>G83*0</f>
        <v>0</v>
      </c>
      <c r="AF83" s="57">
        <f>G83*(1-0)</f>
        <v>0</v>
      </c>
      <c r="AG83" s="52" t="s">
        <v>13</v>
      </c>
      <c r="AM83" s="57">
        <f>F83*AE83</f>
        <v>0</v>
      </c>
      <c r="AN83" s="57">
        <f>F83*AF83</f>
        <v>0</v>
      </c>
      <c r="AO83" s="58" t="s">
        <v>419</v>
      </c>
      <c r="AP83" s="58" t="s">
        <v>430</v>
      </c>
      <c r="AQ83" s="46" t="s">
        <v>434</v>
      </c>
      <c r="AS83" s="57">
        <f>AM83+AN83</f>
        <v>0</v>
      </c>
      <c r="AT83" s="57">
        <f>G83/(100-AU83)*100</f>
        <v>0</v>
      </c>
      <c r="AU83" s="57">
        <v>0</v>
      </c>
      <c r="AV83" s="57">
        <f>L83</f>
        <v>0</v>
      </c>
    </row>
    <row r="84" spans="1:48" ht="12.75">
      <c r="A84" s="10" t="s">
        <v>74</v>
      </c>
      <c r="B84" s="10"/>
      <c r="C84" s="10" t="s">
        <v>193</v>
      </c>
      <c r="D84" s="10" t="s">
        <v>315</v>
      </c>
      <c r="E84" s="10" t="s">
        <v>375</v>
      </c>
      <c r="F84" s="31">
        <v>40</v>
      </c>
      <c r="G84" s="31">
        <v>0</v>
      </c>
      <c r="H84" s="31">
        <f>F84*AE84</f>
        <v>0</v>
      </c>
      <c r="I84" s="31">
        <f>J84-H84</f>
        <v>0</v>
      </c>
      <c r="J84" s="31">
        <f>F84*G84</f>
        <v>0</v>
      </c>
      <c r="K84" s="31">
        <v>0.00069</v>
      </c>
      <c r="L84" s="31">
        <f>F84*K84</f>
        <v>0.0276</v>
      </c>
      <c r="M84" s="52" t="s">
        <v>405</v>
      </c>
      <c r="P84" s="57">
        <f>IF(AG84="5",J84,0)</f>
        <v>0</v>
      </c>
      <c r="R84" s="57">
        <f>IF(AG84="1",H84,0)</f>
        <v>0</v>
      </c>
      <c r="S84" s="57">
        <f>IF(AG84="1",I84,0)</f>
        <v>0</v>
      </c>
      <c r="T84" s="57">
        <f>IF(AG84="7",H84,0)</f>
        <v>0</v>
      </c>
      <c r="U84" s="57">
        <f>IF(AG84="7",I84,0)</f>
        <v>0</v>
      </c>
      <c r="V84" s="57">
        <f>IF(AG84="2",H84,0)</f>
        <v>0</v>
      </c>
      <c r="W84" s="57">
        <f>IF(AG84="2",I84,0)</f>
        <v>0</v>
      </c>
      <c r="X84" s="57">
        <f>IF(AG84="0",J84,0)</f>
        <v>0</v>
      </c>
      <c r="Y84" s="46"/>
      <c r="Z84" s="31">
        <f>IF(AD84=0,J84,0)</f>
        <v>0</v>
      </c>
      <c r="AA84" s="31">
        <f>IF(AD84=15,J84,0)</f>
        <v>0</v>
      </c>
      <c r="AB84" s="31">
        <f>IF(AD84=21,J84,0)</f>
        <v>0</v>
      </c>
      <c r="AD84" s="57">
        <v>21</v>
      </c>
      <c r="AE84" s="57">
        <f>G84*0</f>
        <v>0</v>
      </c>
      <c r="AF84" s="57">
        <f>G84*(1-0)</f>
        <v>0</v>
      </c>
      <c r="AG84" s="52" t="s">
        <v>13</v>
      </c>
      <c r="AM84" s="57">
        <f>F84*AE84</f>
        <v>0</v>
      </c>
      <c r="AN84" s="57">
        <f>F84*AF84</f>
        <v>0</v>
      </c>
      <c r="AO84" s="58" t="s">
        <v>419</v>
      </c>
      <c r="AP84" s="58" t="s">
        <v>430</v>
      </c>
      <c r="AQ84" s="46" t="s">
        <v>434</v>
      </c>
      <c r="AS84" s="57">
        <f>AM84+AN84</f>
        <v>0</v>
      </c>
      <c r="AT84" s="57">
        <f>G84/(100-AU84)*100</f>
        <v>0</v>
      </c>
      <c r="AU84" s="57">
        <v>0</v>
      </c>
      <c r="AV84" s="57">
        <f>L84</f>
        <v>0.0276</v>
      </c>
    </row>
    <row r="85" spans="1:48" ht="12.75">
      <c r="A85" s="10" t="s">
        <v>75</v>
      </c>
      <c r="B85" s="10"/>
      <c r="C85" s="10" t="s">
        <v>194</v>
      </c>
      <c r="D85" s="10" t="s">
        <v>316</v>
      </c>
      <c r="E85" s="10" t="s">
        <v>377</v>
      </c>
      <c r="F85" s="31">
        <v>3.0552</v>
      </c>
      <c r="G85" s="31">
        <v>0</v>
      </c>
      <c r="H85" s="31">
        <f>F85*AE85</f>
        <v>0</v>
      </c>
      <c r="I85" s="31">
        <f>J85-H85</f>
        <v>0</v>
      </c>
      <c r="J85" s="31">
        <f>F85*G85</f>
        <v>0</v>
      </c>
      <c r="K85" s="31">
        <v>0</v>
      </c>
      <c r="L85" s="31">
        <f>F85*K85</f>
        <v>0</v>
      </c>
      <c r="M85" s="52" t="s">
        <v>405</v>
      </c>
      <c r="P85" s="57">
        <f>IF(AG85="5",J85,0)</f>
        <v>0</v>
      </c>
      <c r="R85" s="57">
        <f>IF(AG85="1",H85,0)</f>
        <v>0</v>
      </c>
      <c r="S85" s="57">
        <f>IF(AG85="1",I85,0)</f>
        <v>0</v>
      </c>
      <c r="T85" s="57">
        <f>IF(AG85="7",H85,0)</f>
        <v>0</v>
      </c>
      <c r="U85" s="57">
        <f>IF(AG85="7",I85,0)</f>
        <v>0</v>
      </c>
      <c r="V85" s="57">
        <f>IF(AG85="2",H85,0)</f>
        <v>0</v>
      </c>
      <c r="W85" s="57">
        <f>IF(AG85="2",I85,0)</f>
        <v>0</v>
      </c>
      <c r="X85" s="57">
        <f>IF(AG85="0",J85,0)</f>
        <v>0</v>
      </c>
      <c r="Y85" s="46"/>
      <c r="Z85" s="31">
        <f>IF(AD85=0,J85,0)</f>
        <v>0</v>
      </c>
      <c r="AA85" s="31">
        <f>IF(AD85=15,J85,0)</f>
        <v>0</v>
      </c>
      <c r="AB85" s="31">
        <f>IF(AD85=21,J85,0)</f>
        <v>0</v>
      </c>
      <c r="AD85" s="57">
        <v>21</v>
      </c>
      <c r="AE85" s="57">
        <f>G85*0</f>
        <v>0</v>
      </c>
      <c r="AF85" s="57">
        <f>G85*(1-0)</f>
        <v>0</v>
      </c>
      <c r="AG85" s="52" t="s">
        <v>13</v>
      </c>
      <c r="AM85" s="57">
        <f>F85*AE85</f>
        <v>0</v>
      </c>
      <c r="AN85" s="57">
        <f>F85*AF85</f>
        <v>0</v>
      </c>
      <c r="AO85" s="58" t="s">
        <v>419</v>
      </c>
      <c r="AP85" s="58" t="s">
        <v>430</v>
      </c>
      <c r="AQ85" s="46" t="s">
        <v>434</v>
      </c>
      <c r="AS85" s="57">
        <f>AM85+AN85</f>
        <v>0</v>
      </c>
      <c r="AT85" s="57">
        <f>G85/(100-AU85)*100</f>
        <v>0</v>
      </c>
      <c r="AU85" s="57">
        <v>0</v>
      </c>
      <c r="AV85" s="57">
        <f>L85</f>
        <v>0</v>
      </c>
    </row>
    <row r="86" spans="1:37" ht="12.75">
      <c r="A86" s="11"/>
      <c r="B86" s="24"/>
      <c r="C86" s="24" t="s">
        <v>195</v>
      </c>
      <c r="D86" s="24" t="s">
        <v>317</v>
      </c>
      <c r="E86" s="11" t="s">
        <v>6</v>
      </c>
      <c r="F86" s="11" t="s">
        <v>6</v>
      </c>
      <c r="G86" s="11" t="s">
        <v>6</v>
      </c>
      <c r="H86" s="60">
        <f>SUM(H87:H107)</f>
        <v>0</v>
      </c>
      <c r="I86" s="60">
        <f>SUM(I87:I107)</f>
        <v>0</v>
      </c>
      <c r="J86" s="60">
        <f>H86+I86</f>
        <v>0</v>
      </c>
      <c r="K86" s="46"/>
      <c r="L86" s="60">
        <f>SUM(L87:L107)</f>
        <v>1.8401200000000002</v>
      </c>
      <c r="M86" s="46"/>
      <c r="Y86" s="46"/>
      <c r="AI86" s="60">
        <f>SUM(Z87:Z107)</f>
        <v>0</v>
      </c>
      <c r="AJ86" s="60">
        <f>SUM(AA87:AA107)</f>
        <v>0</v>
      </c>
      <c r="AK86" s="60">
        <f>SUM(AB87:AB107)</f>
        <v>0</v>
      </c>
    </row>
    <row r="87" spans="1:48" ht="12.75">
      <c r="A87" s="10" t="s">
        <v>76</v>
      </c>
      <c r="B87" s="10"/>
      <c r="C87" s="10" t="s">
        <v>196</v>
      </c>
      <c r="D87" s="10" t="s">
        <v>318</v>
      </c>
      <c r="E87" s="10" t="s">
        <v>378</v>
      </c>
      <c r="F87" s="31">
        <v>1</v>
      </c>
      <c r="G87" s="31">
        <v>0</v>
      </c>
      <c r="H87" s="31">
        <f>F87*AE87</f>
        <v>0</v>
      </c>
      <c r="I87" s="31">
        <f>J87-H87</f>
        <v>0</v>
      </c>
      <c r="J87" s="31">
        <f>F87*G87</f>
        <v>0</v>
      </c>
      <c r="K87" s="31">
        <v>0.01889</v>
      </c>
      <c r="L87" s="31">
        <f>F87*K87</f>
        <v>0.01889</v>
      </c>
      <c r="M87" s="52" t="s">
        <v>405</v>
      </c>
      <c r="P87" s="57">
        <f>IF(AG87="5",J87,0)</f>
        <v>0</v>
      </c>
      <c r="R87" s="57">
        <f>IF(AG87="1",H87,0)</f>
        <v>0</v>
      </c>
      <c r="S87" s="57">
        <f>IF(AG87="1",I87,0)</f>
        <v>0</v>
      </c>
      <c r="T87" s="57">
        <f>IF(AG87="7",H87,0)</f>
        <v>0</v>
      </c>
      <c r="U87" s="57">
        <f>IF(AG87="7",I87,0)</f>
        <v>0</v>
      </c>
      <c r="V87" s="57">
        <f>IF(AG87="2",H87,0)</f>
        <v>0</v>
      </c>
      <c r="W87" s="57">
        <f>IF(AG87="2",I87,0)</f>
        <v>0</v>
      </c>
      <c r="X87" s="57">
        <f>IF(AG87="0",J87,0)</f>
        <v>0</v>
      </c>
      <c r="Y87" s="46"/>
      <c r="Z87" s="31">
        <f>IF(AD87=0,J87,0)</f>
        <v>0</v>
      </c>
      <c r="AA87" s="31">
        <f>IF(AD87=15,J87,0)</f>
        <v>0</v>
      </c>
      <c r="AB87" s="31">
        <f>IF(AD87=21,J87,0)</f>
        <v>0</v>
      </c>
      <c r="AD87" s="57">
        <v>21</v>
      </c>
      <c r="AE87" s="57">
        <f>G87*0.920297153024911</f>
        <v>0</v>
      </c>
      <c r="AF87" s="57">
        <f>G87*(1-0.920297153024911)</f>
        <v>0</v>
      </c>
      <c r="AG87" s="52" t="s">
        <v>13</v>
      </c>
      <c r="AM87" s="57">
        <f>F87*AE87</f>
        <v>0</v>
      </c>
      <c r="AN87" s="57">
        <f>F87*AF87</f>
        <v>0</v>
      </c>
      <c r="AO87" s="58" t="s">
        <v>420</v>
      </c>
      <c r="AP87" s="58" t="s">
        <v>430</v>
      </c>
      <c r="AQ87" s="46" t="s">
        <v>434</v>
      </c>
      <c r="AS87" s="57">
        <f>AM87+AN87</f>
        <v>0</v>
      </c>
      <c r="AT87" s="57">
        <f>G87/(100-AU87)*100</f>
        <v>0</v>
      </c>
      <c r="AU87" s="57">
        <v>0</v>
      </c>
      <c r="AV87" s="57">
        <f>L87</f>
        <v>0.01889</v>
      </c>
    </row>
    <row r="88" spans="1:48" ht="12.75">
      <c r="A88" s="10" t="s">
        <v>77</v>
      </c>
      <c r="B88" s="10"/>
      <c r="C88" s="10" t="s">
        <v>197</v>
      </c>
      <c r="D88" s="10" t="s">
        <v>319</v>
      </c>
      <c r="E88" s="10" t="s">
        <v>378</v>
      </c>
      <c r="F88" s="31">
        <v>18</v>
      </c>
      <c r="G88" s="31">
        <v>0</v>
      </c>
      <c r="H88" s="31">
        <f>F88*AE88</f>
        <v>0</v>
      </c>
      <c r="I88" s="31">
        <f>J88-H88</f>
        <v>0</v>
      </c>
      <c r="J88" s="31">
        <f>F88*G88</f>
        <v>0</v>
      </c>
      <c r="K88" s="31">
        <v>0.02134</v>
      </c>
      <c r="L88" s="31">
        <f>F88*K88</f>
        <v>0.38412</v>
      </c>
      <c r="M88" s="52" t="s">
        <v>405</v>
      </c>
      <c r="P88" s="57">
        <f>IF(AG88="5",J88,0)</f>
        <v>0</v>
      </c>
      <c r="R88" s="57">
        <f>IF(AG88="1",H88,0)</f>
        <v>0</v>
      </c>
      <c r="S88" s="57">
        <f>IF(AG88="1",I88,0)</f>
        <v>0</v>
      </c>
      <c r="T88" s="57">
        <f>IF(AG88="7",H88,0)</f>
        <v>0</v>
      </c>
      <c r="U88" s="57">
        <f>IF(AG88="7",I88,0)</f>
        <v>0</v>
      </c>
      <c r="V88" s="57">
        <f>IF(AG88="2",H88,0)</f>
        <v>0</v>
      </c>
      <c r="W88" s="57">
        <f>IF(AG88="2",I88,0)</f>
        <v>0</v>
      </c>
      <c r="X88" s="57">
        <f>IF(AG88="0",J88,0)</f>
        <v>0</v>
      </c>
      <c r="Y88" s="46"/>
      <c r="Z88" s="31">
        <f>IF(AD88=0,J88,0)</f>
        <v>0</v>
      </c>
      <c r="AA88" s="31">
        <f>IF(AD88=15,J88,0)</f>
        <v>0</v>
      </c>
      <c r="AB88" s="31">
        <f>IF(AD88=21,J88,0)</f>
        <v>0</v>
      </c>
      <c r="AD88" s="57">
        <v>21</v>
      </c>
      <c r="AE88" s="57">
        <f>G88*0.938216551724138</f>
        <v>0</v>
      </c>
      <c r="AF88" s="57">
        <f>G88*(1-0.938216551724138)</f>
        <v>0</v>
      </c>
      <c r="AG88" s="52" t="s">
        <v>13</v>
      </c>
      <c r="AM88" s="57">
        <f>F88*AE88</f>
        <v>0</v>
      </c>
      <c r="AN88" s="57">
        <f>F88*AF88</f>
        <v>0</v>
      </c>
      <c r="AO88" s="58" t="s">
        <v>420</v>
      </c>
      <c r="AP88" s="58" t="s">
        <v>430</v>
      </c>
      <c r="AQ88" s="46" t="s">
        <v>434</v>
      </c>
      <c r="AS88" s="57">
        <f>AM88+AN88</f>
        <v>0</v>
      </c>
      <c r="AT88" s="57">
        <f>G88/(100-AU88)*100</f>
        <v>0</v>
      </c>
      <c r="AU88" s="57">
        <v>0</v>
      </c>
      <c r="AV88" s="57">
        <f>L88</f>
        <v>0.38412</v>
      </c>
    </row>
    <row r="89" spans="1:48" ht="12.75">
      <c r="A89" s="10" t="s">
        <v>78</v>
      </c>
      <c r="B89" s="10"/>
      <c r="C89" s="10" t="s">
        <v>198</v>
      </c>
      <c r="D89" s="10" t="s">
        <v>320</v>
      </c>
      <c r="E89" s="10" t="s">
        <v>378</v>
      </c>
      <c r="F89" s="31">
        <v>3</v>
      </c>
      <c r="G89" s="31">
        <v>0</v>
      </c>
      <c r="H89" s="31">
        <f>F89*AE89</f>
        <v>0</v>
      </c>
      <c r="I89" s="31">
        <f>J89-H89</f>
        <v>0</v>
      </c>
      <c r="J89" s="31">
        <f>F89*G89</f>
        <v>0</v>
      </c>
      <c r="K89" s="31">
        <v>0.01772</v>
      </c>
      <c r="L89" s="31">
        <f>F89*K89</f>
        <v>0.05316</v>
      </c>
      <c r="M89" s="52" t="s">
        <v>405</v>
      </c>
      <c r="P89" s="57">
        <f>IF(AG89="5",J89,0)</f>
        <v>0</v>
      </c>
      <c r="R89" s="57">
        <f>IF(AG89="1",H89,0)</f>
        <v>0</v>
      </c>
      <c r="S89" s="57">
        <f>IF(AG89="1",I89,0)</f>
        <v>0</v>
      </c>
      <c r="T89" s="57">
        <f>IF(AG89="7",H89,0)</f>
        <v>0</v>
      </c>
      <c r="U89" s="57">
        <f>IF(AG89="7",I89,0)</f>
        <v>0</v>
      </c>
      <c r="V89" s="57">
        <f>IF(AG89="2",H89,0)</f>
        <v>0</v>
      </c>
      <c r="W89" s="57">
        <f>IF(AG89="2",I89,0)</f>
        <v>0</v>
      </c>
      <c r="X89" s="57">
        <f>IF(AG89="0",J89,0)</f>
        <v>0</v>
      </c>
      <c r="Y89" s="46"/>
      <c r="Z89" s="31">
        <f>IF(AD89=0,J89,0)</f>
        <v>0</v>
      </c>
      <c r="AA89" s="31">
        <f>IF(AD89=15,J89,0)</f>
        <v>0</v>
      </c>
      <c r="AB89" s="31">
        <f>IF(AD89=21,J89,0)</f>
        <v>0</v>
      </c>
      <c r="AD89" s="57">
        <v>21</v>
      </c>
      <c r="AE89" s="57">
        <f>G89*0.885293213828425</f>
        <v>0</v>
      </c>
      <c r="AF89" s="57">
        <f>G89*(1-0.885293213828425)</f>
        <v>0</v>
      </c>
      <c r="AG89" s="52" t="s">
        <v>13</v>
      </c>
      <c r="AM89" s="57">
        <f>F89*AE89</f>
        <v>0</v>
      </c>
      <c r="AN89" s="57">
        <f>F89*AF89</f>
        <v>0</v>
      </c>
      <c r="AO89" s="58" t="s">
        <v>420</v>
      </c>
      <c r="AP89" s="58" t="s">
        <v>430</v>
      </c>
      <c r="AQ89" s="46" t="s">
        <v>434</v>
      </c>
      <c r="AS89" s="57">
        <f>AM89+AN89</f>
        <v>0</v>
      </c>
      <c r="AT89" s="57">
        <f>G89/(100-AU89)*100</f>
        <v>0</v>
      </c>
      <c r="AU89" s="57">
        <v>0</v>
      </c>
      <c r="AV89" s="57">
        <f>L89</f>
        <v>0.05316</v>
      </c>
    </row>
    <row r="90" spans="1:48" ht="12.75">
      <c r="A90" s="10" t="s">
        <v>79</v>
      </c>
      <c r="B90" s="10"/>
      <c r="C90" s="10" t="s">
        <v>199</v>
      </c>
      <c r="D90" s="10" t="s">
        <v>321</v>
      </c>
      <c r="E90" s="10" t="s">
        <v>378</v>
      </c>
      <c r="F90" s="31">
        <v>1</v>
      </c>
      <c r="G90" s="31">
        <v>0</v>
      </c>
      <c r="H90" s="31">
        <f>F90*AE90</f>
        <v>0</v>
      </c>
      <c r="I90" s="31">
        <f>J90-H90</f>
        <v>0</v>
      </c>
      <c r="J90" s="31">
        <f>F90*G90</f>
        <v>0</v>
      </c>
      <c r="K90" s="31">
        <v>0.01701</v>
      </c>
      <c r="L90" s="31">
        <f>F90*K90</f>
        <v>0.01701</v>
      </c>
      <c r="M90" s="52" t="s">
        <v>405</v>
      </c>
      <c r="P90" s="57">
        <f>IF(AG90="5",J90,0)</f>
        <v>0</v>
      </c>
      <c r="R90" s="57">
        <f>IF(AG90="1",H90,0)</f>
        <v>0</v>
      </c>
      <c r="S90" s="57">
        <f>IF(AG90="1",I90,0)</f>
        <v>0</v>
      </c>
      <c r="T90" s="57">
        <f>IF(AG90="7",H90,0)</f>
        <v>0</v>
      </c>
      <c r="U90" s="57">
        <f>IF(AG90="7",I90,0)</f>
        <v>0</v>
      </c>
      <c r="V90" s="57">
        <f>IF(AG90="2",H90,0)</f>
        <v>0</v>
      </c>
      <c r="W90" s="57">
        <f>IF(AG90="2",I90,0)</f>
        <v>0</v>
      </c>
      <c r="X90" s="57">
        <f>IF(AG90="0",J90,0)</f>
        <v>0</v>
      </c>
      <c r="Y90" s="46"/>
      <c r="Z90" s="31">
        <f>IF(AD90=0,J90,0)</f>
        <v>0</v>
      </c>
      <c r="AA90" s="31">
        <f>IF(AD90=15,J90,0)</f>
        <v>0</v>
      </c>
      <c r="AB90" s="31">
        <f>IF(AD90=21,J90,0)</f>
        <v>0</v>
      </c>
      <c r="AD90" s="57">
        <v>21</v>
      </c>
      <c r="AE90" s="57">
        <f>G90*0.758648535564854</f>
        <v>0</v>
      </c>
      <c r="AF90" s="57">
        <f>G90*(1-0.758648535564854)</f>
        <v>0</v>
      </c>
      <c r="AG90" s="52" t="s">
        <v>13</v>
      </c>
      <c r="AM90" s="57">
        <f>F90*AE90</f>
        <v>0</v>
      </c>
      <c r="AN90" s="57">
        <f>F90*AF90</f>
        <v>0</v>
      </c>
      <c r="AO90" s="58" t="s">
        <v>420</v>
      </c>
      <c r="AP90" s="58" t="s">
        <v>430</v>
      </c>
      <c r="AQ90" s="46" t="s">
        <v>434</v>
      </c>
      <c r="AS90" s="57">
        <f>AM90+AN90</f>
        <v>0</v>
      </c>
      <c r="AT90" s="57">
        <f>G90/(100-AU90)*100</f>
        <v>0</v>
      </c>
      <c r="AU90" s="57">
        <v>0</v>
      </c>
      <c r="AV90" s="57">
        <f>L90</f>
        <v>0.01701</v>
      </c>
    </row>
    <row r="91" spans="1:48" ht="12.75">
      <c r="A91" s="10" t="s">
        <v>80</v>
      </c>
      <c r="B91" s="10"/>
      <c r="C91" s="10" t="s">
        <v>200</v>
      </c>
      <c r="D91" s="10" t="s">
        <v>322</v>
      </c>
      <c r="E91" s="10" t="s">
        <v>378</v>
      </c>
      <c r="F91" s="31">
        <v>19</v>
      </c>
      <c r="G91" s="31">
        <v>0</v>
      </c>
      <c r="H91" s="31">
        <f>F91*AE91</f>
        <v>0</v>
      </c>
      <c r="I91" s="31">
        <f>J91-H91</f>
        <v>0</v>
      </c>
      <c r="J91" s="31">
        <f>F91*G91</f>
        <v>0</v>
      </c>
      <c r="K91" s="31">
        <v>0.009</v>
      </c>
      <c r="L91" s="31">
        <f>F91*K91</f>
        <v>0.17099999999999999</v>
      </c>
      <c r="M91" s="52" t="s">
        <v>405</v>
      </c>
      <c r="P91" s="57">
        <f>IF(AG91="5",J91,0)</f>
        <v>0</v>
      </c>
      <c r="R91" s="57">
        <f>IF(AG91="1",H91,0)</f>
        <v>0</v>
      </c>
      <c r="S91" s="57">
        <f>IF(AG91="1",I91,0)</f>
        <v>0</v>
      </c>
      <c r="T91" s="57">
        <f>IF(AG91="7",H91,0)</f>
        <v>0</v>
      </c>
      <c r="U91" s="57">
        <f>IF(AG91="7",I91,0)</f>
        <v>0</v>
      </c>
      <c r="V91" s="57">
        <f>IF(AG91="2",H91,0)</f>
        <v>0</v>
      </c>
      <c r="W91" s="57">
        <f>IF(AG91="2",I91,0)</f>
        <v>0</v>
      </c>
      <c r="X91" s="57">
        <f>IF(AG91="0",J91,0)</f>
        <v>0</v>
      </c>
      <c r="Y91" s="46"/>
      <c r="Z91" s="31">
        <f>IF(AD91=0,J91,0)</f>
        <v>0</v>
      </c>
      <c r="AA91" s="31">
        <f>IF(AD91=15,J91,0)</f>
        <v>0</v>
      </c>
      <c r="AB91" s="31">
        <f>IF(AD91=21,J91,0)</f>
        <v>0</v>
      </c>
      <c r="AD91" s="57">
        <v>21</v>
      </c>
      <c r="AE91" s="57">
        <f>G91*0.703004357050228</f>
        <v>0</v>
      </c>
      <c r="AF91" s="57">
        <f>G91*(1-0.703004357050228)</f>
        <v>0</v>
      </c>
      <c r="AG91" s="52" t="s">
        <v>13</v>
      </c>
      <c r="AM91" s="57">
        <f>F91*AE91</f>
        <v>0</v>
      </c>
      <c r="AN91" s="57">
        <f>F91*AF91</f>
        <v>0</v>
      </c>
      <c r="AO91" s="58" t="s">
        <v>420</v>
      </c>
      <c r="AP91" s="58" t="s">
        <v>430</v>
      </c>
      <c r="AQ91" s="46" t="s">
        <v>434</v>
      </c>
      <c r="AS91" s="57">
        <f>AM91+AN91</f>
        <v>0</v>
      </c>
      <c r="AT91" s="57">
        <f>G91/(100-AU91)*100</f>
        <v>0</v>
      </c>
      <c r="AU91" s="57">
        <v>0</v>
      </c>
      <c r="AV91" s="57">
        <f>L91</f>
        <v>0.17099999999999999</v>
      </c>
    </row>
    <row r="92" spans="1:48" ht="12.75">
      <c r="A92" s="10" t="s">
        <v>81</v>
      </c>
      <c r="B92" s="10"/>
      <c r="C92" s="10" t="s">
        <v>201</v>
      </c>
      <c r="D92" s="10" t="s">
        <v>323</v>
      </c>
      <c r="E92" s="10" t="s">
        <v>378</v>
      </c>
      <c r="F92" s="31">
        <v>4</v>
      </c>
      <c r="G92" s="31">
        <v>0</v>
      </c>
      <c r="H92" s="31">
        <f>F92*AE92</f>
        <v>0</v>
      </c>
      <c r="I92" s="31">
        <f>J92-H92</f>
        <v>0</v>
      </c>
      <c r="J92" s="31">
        <f>F92*G92</f>
        <v>0</v>
      </c>
      <c r="K92" s="31">
        <v>0.01901</v>
      </c>
      <c r="L92" s="31">
        <f>F92*K92</f>
        <v>0.07604</v>
      </c>
      <c r="M92" s="52" t="s">
        <v>405</v>
      </c>
      <c r="P92" s="57">
        <f>IF(AG92="5",J92,0)</f>
        <v>0</v>
      </c>
      <c r="R92" s="57">
        <f>IF(AG92="1",H92,0)</f>
        <v>0</v>
      </c>
      <c r="S92" s="57">
        <f>IF(AG92="1",I92,0)</f>
        <v>0</v>
      </c>
      <c r="T92" s="57">
        <f>IF(AG92="7",H92,0)</f>
        <v>0</v>
      </c>
      <c r="U92" s="57">
        <f>IF(AG92="7",I92,0)</f>
        <v>0</v>
      </c>
      <c r="V92" s="57">
        <f>IF(AG92="2",H92,0)</f>
        <v>0</v>
      </c>
      <c r="W92" s="57">
        <f>IF(AG92="2",I92,0)</f>
        <v>0</v>
      </c>
      <c r="X92" s="57">
        <f>IF(AG92="0",J92,0)</f>
        <v>0</v>
      </c>
      <c r="Y92" s="46"/>
      <c r="Z92" s="31">
        <f>IF(AD92=0,J92,0)</f>
        <v>0</v>
      </c>
      <c r="AA92" s="31">
        <f>IF(AD92=15,J92,0)</f>
        <v>0</v>
      </c>
      <c r="AB92" s="31">
        <f>IF(AD92=21,J92,0)</f>
        <v>0</v>
      </c>
      <c r="AD92" s="57">
        <v>21</v>
      </c>
      <c r="AE92" s="57">
        <f>G92*0.721302043289426</f>
        <v>0</v>
      </c>
      <c r="AF92" s="57">
        <f>G92*(1-0.721302043289426)</f>
        <v>0</v>
      </c>
      <c r="AG92" s="52" t="s">
        <v>13</v>
      </c>
      <c r="AM92" s="57">
        <f>F92*AE92</f>
        <v>0</v>
      </c>
      <c r="AN92" s="57">
        <f>F92*AF92</f>
        <v>0</v>
      </c>
      <c r="AO92" s="58" t="s">
        <v>420</v>
      </c>
      <c r="AP92" s="58" t="s">
        <v>430</v>
      </c>
      <c r="AQ92" s="46" t="s">
        <v>434</v>
      </c>
      <c r="AS92" s="57">
        <f>AM92+AN92</f>
        <v>0</v>
      </c>
      <c r="AT92" s="57">
        <f>G92/(100-AU92)*100</f>
        <v>0</v>
      </c>
      <c r="AU92" s="57">
        <v>0</v>
      </c>
      <c r="AV92" s="57">
        <f>L92</f>
        <v>0.07604</v>
      </c>
    </row>
    <row r="93" spans="1:48" ht="12.75">
      <c r="A93" s="10" t="s">
        <v>82</v>
      </c>
      <c r="B93" s="10"/>
      <c r="C93" s="10" t="s">
        <v>202</v>
      </c>
      <c r="D93" s="10" t="s">
        <v>324</v>
      </c>
      <c r="E93" s="10" t="s">
        <v>378</v>
      </c>
      <c r="F93" s="31">
        <v>1</v>
      </c>
      <c r="G93" s="31">
        <v>0</v>
      </c>
      <c r="H93" s="31">
        <f>F93*AE93</f>
        <v>0</v>
      </c>
      <c r="I93" s="31">
        <f>J93-H93</f>
        <v>0</v>
      </c>
      <c r="J93" s="31">
        <f>F93*G93</f>
        <v>0</v>
      </c>
      <c r="K93" s="31">
        <v>0.0018</v>
      </c>
      <c r="L93" s="31">
        <f>F93*K93</f>
        <v>0.0018</v>
      </c>
      <c r="M93" s="52" t="s">
        <v>405</v>
      </c>
      <c r="P93" s="57">
        <f>IF(AG93="5",J93,0)</f>
        <v>0</v>
      </c>
      <c r="R93" s="57">
        <f>IF(AG93="1",H93,0)</f>
        <v>0</v>
      </c>
      <c r="S93" s="57">
        <f>IF(AG93="1",I93,0)</f>
        <v>0</v>
      </c>
      <c r="T93" s="57">
        <f>IF(AG93="7",H93,0)</f>
        <v>0</v>
      </c>
      <c r="U93" s="57">
        <f>IF(AG93="7",I93,0)</f>
        <v>0</v>
      </c>
      <c r="V93" s="57">
        <f>IF(AG93="2",H93,0)</f>
        <v>0</v>
      </c>
      <c r="W93" s="57">
        <f>IF(AG93="2",I93,0)</f>
        <v>0</v>
      </c>
      <c r="X93" s="57">
        <f>IF(AG93="0",J93,0)</f>
        <v>0</v>
      </c>
      <c r="Y93" s="46"/>
      <c r="Z93" s="31">
        <f>IF(AD93=0,J93,0)</f>
        <v>0</v>
      </c>
      <c r="AA93" s="31">
        <f>IF(AD93=15,J93,0)</f>
        <v>0</v>
      </c>
      <c r="AB93" s="31">
        <f>IF(AD93=21,J93,0)</f>
        <v>0</v>
      </c>
      <c r="AD93" s="57">
        <v>21</v>
      </c>
      <c r="AE93" s="57">
        <f>G93*0.888419560595322</f>
        <v>0</v>
      </c>
      <c r="AF93" s="57">
        <f>G93*(1-0.888419560595322)</f>
        <v>0</v>
      </c>
      <c r="AG93" s="52" t="s">
        <v>13</v>
      </c>
      <c r="AM93" s="57">
        <f>F93*AE93</f>
        <v>0</v>
      </c>
      <c r="AN93" s="57">
        <f>F93*AF93</f>
        <v>0</v>
      </c>
      <c r="AO93" s="58" t="s">
        <v>420</v>
      </c>
      <c r="AP93" s="58" t="s">
        <v>430</v>
      </c>
      <c r="AQ93" s="46" t="s">
        <v>434</v>
      </c>
      <c r="AS93" s="57">
        <f>AM93+AN93</f>
        <v>0</v>
      </c>
      <c r="AT93" s="57">
        <f>G93/(100-AU93)*100</f>
        <v>0</v>
      </c>
      <c r="AU93" s="57">
        <v>0</v>
      </c>
      <c r="AV93" s="57">
        <f>L93</f>
        <v>0.0018</v>
      </c>
    </row>
    <row r="94" spans="1:48" ht="12.75">
      <c r="A94" s="10" t="s">
        <v>83</v>
      </c>
      <c r="B94" s="10"/>
      <c r="C94" s="10" t="s">
        <v>203</v>
      </c>
      <c r="D94" s="10" t="s">
        <v>325</v>
      </c>
      <c r="E94" s="10" t="s">
        <v>378</v>
      </c>
      <c r="F94" s="31">
        <v>1</v>
      </c>
      <c r="G94" s="31">
        <v>0</v>
      </c>
      <c r="H94" s="31">
        <f>F94*AE94</f>
        <v>0</v>
      </c>
      <c r="I94" s="31">
        <f>J94-H94</f>
        <v>0</v>
      </c>
      <c r="J94" s="31">
        <f>F94*G94</f>
        <v>0</v>
      </c>
      <c r="K94" s="31">
        <v>0.0018</v>
      </c>
      <c r="L94" s="31">
        <f>F94*K94</f>
        <v>0.0018</v>
      </c>
      <c r="M94" s="52" t="s">
        <v>405</v>
      </c>
      <c r="P94" s="57">
        <f>IF(AG94="5",J94,0)</f>
        <v>0</v>
      </c>
      <c r="R94" s="57">
        <f>IF(AG94="1",H94,0)</f>
        <v>0</v>
      </c>
      <c r="S94" s="57">
        <f>IF(AG94="1",I94,0)</f>
        <v>0</v>
      </c>
      <c r="T94" s="57">
        <f>IF(AG94="7",H94,0)</f>
        <v>0</v>
      </c>
      <c r="U94" s="57">
        <f>IF(AG94="7",I94,0)</f>
        <v>0</v>
      </c>
      <c r="V94" s="57">
        <f>IF(AG94="2",H94,0)</f>
        <v>0</v>
      </c>
      <c r="W94" s="57">
        <f>IF(AG94="2",I94,0)</f>
        <v>0</v>
      </c>
      <c r="X94" s="57">
        <f>IF(AG94="0",J94,0)</f>
        <v>0</v>
      </c>
      <c r="Y94" s="46"/>
      <c r="Z94" s="31">
        <f>IF(AD94=0,J94,0)</f>
        <v>0</v>
      </c>
      <c r="AA94" s="31">
        <f>IF(AD94=15,J94,0)</f>
        <v>0</v>
      </c>
      <c r="AB94" s="31">
        <f>IF(AD94=21,J94,0)</f>
        <v>0</v>
      </c>
      <c r="AD94" s="57">
        <v>21</v>
      </c>
      <c r="AE94" s="57">
        <f>G94*0.900228136882129</f>
        <v>0</v>
      </c>
      <c r="AF94" s="57">
        <f>G94*(1-0.900228136882129)</f>
        <v>0</v>
      </c>
      <c r="AG94" s="52" t="s">
        <v>13</v>
      </c>
      <c r="AM94" s="57">
        <f>F94*AE94</f>
        <v>0</v>
      </c>
      <c r="AN94" s="57">
        <f>F94*AF94</f>
        <v>0</v>
      </c>
      <c r="AO94" s="58" t="s">
        <v>420</v>
      </c>
      <c r="AP94" s="58" t="s">
        <v>430</v>
      </c>
      <c r="AQ94" s="46" t="s">
        <v>434</v>
      </c>
      <c r="AS94" s="57">
        <f>AM94+AN94</f>
        <v>0</v>
      </c>
      <c r="AT94" s="57">
        <f>G94/(100-AU94)*100</f>
        <v>0</v>
      </c>
      <c r="AU94" s="57">
        <v>0</v>
      </c>
      <c r="AV94" s="57">
        <f>L94</f>
        <v>0.0018</v>
      </c>
    </row>
    <row r="95" spans="1:48" ht="12.75">
      <c r="A95" s="10" t="s">
        <v>84</v>
      </c>
      <c r="B95" s="10"/>
      <c r="C95" s="10" t="s">
        <v>204</v>
      </c>
      <c r="D95" s="10" t="s">
        <v>326</v>
      </c>
      <c r="E95" s="10" t="s">
        <v>378</v>
      </c>
      <c r="F95" s="31">
        <v>5</v>
      </c>
      <c r="G95" s="31">
        <v>0</v>
      </c>
      <c r="H95" s="31">
        <f>F95*AE95</f>
        <v>0</v>
      </c>
      <c r="I95" s="31">
        <f>J95-H95</f>
        <v>0</v>
      </c>
      <c r="J95" s="31">
        <f>F95*G95</f>
        <v>0</v>
      </c>
      <c r="K95" s="31">
        <v>0.00062</v>
      </c>
      <c r="L95" s="31">
        <f>F95*K95</f>
        <v>0.0031</v>
      </c>
      <c r="M95" s="52" t="s">
        <v>405</v>
      </c>
      <c r="P95" s="57">
        <f>IF(AG95="5",J95,0)</f>
        <v>0</v>
      </c>
      <c r="R95" s="57">
        <f>IF(AG95="1",H95,0)</f>
        <v>0</v>
      </c>
      <c r="S95" s="57">
        <f>IF(AG95="1",I95,0)</f>
        <v>0</v>
      </c>
      <c r="T95" s="57">
        <f>IF(AG95="7",H95,0)</f>
        <v>0</v>
      </c>
      <c r="U95" s="57">
        <f>IF(AG95="7",I95,0)</f>
        <v>0</v>
      </c>
      <c r="V95" s="57">
        <f>IF(AG95="2",H95,0)</f>
        <v>0</v>
      </c>
      <c r="W95" s="57">
        <f>IF(AG95="2",I95,0)</f>
        <v>0</v>
      </c>
      <c r="X95" s="57">
        <f>IF(AG95="0",J95,0)</f>
        <v>0</v>
      </c>
      <c r="Y95" s="46"/>
      <c r="Z95" s="31">
        <f>IF(AD95=0,J95,0)</f>
        <v>0</v>
      </c>
      <c r="AA95" s="31">
        <f>IF(AD95=15,J95,0)</f>
        <v>0</v>
      </c>
      <c r="AB95" s="31">
        <f>IF(AD95=21,J95,0)</f>
        <v>0</v>
      </c>
      <c r="AD95" s="57">
        <v>21</v>
      </c>
      <c r="AE95" s="57">
        <f>G95*0.296019607843137</f>
        <v>0</v>
      </c>
      <c r="AF95" s="57">
        <f>G95*(1-0.296019607843137)</f>
        <v>0</v>
      </c>
      <c r="AG95" s="52" t="s">
        <v>13</v>
      </c>
      <c r="AM95" s="57">
        <f>F95*AE95</f>
        <v>0</v>
      </c>
      <c r="AN95" s="57">
        <f>F95*AF95</f>
        <v>0</v>
      </c>
      <c r="AO95" s="58" t="s">
        <v>420</v>
      </c>
      <c r="AP95" s="58" t="s">
        <v>430</v>
      </c>
      <c r="AQ95" s="46" t="s">
        <v>434</v>
      </c>
      <c r="AS95" s="57">
        <f>AM95+AN95</f>
        <v>0</v>
      </c>
      <c r="AT95" s="57">
        <f>G95/(100-AU95)*100</f>
        <v>0</v>
      </c>
      <c r="AU95" s="57">
        <v>0</v>
      </c>
      <c r="AV95" s="57">
        <f>L95</f>
        <v>0.0031</v>
      </c>
    </row>
    <row r="96" spans="1:48" ht="12.75">
      <c r="A96" s="12" t="s">
        <v>85</v>
      </c>
      <c r="B96" s="12"/>
      <c r="C96" s="12" t="s">
        <v>205</v>
      </c>
      <c r="D96" s="12" t="s">
        <v>327</v>
      </c>
      <c r="E96" s="12" t="s">
        <v>375</v>
      </c>
      <c r="F96" s="32">
        <v>5</v>
      </c>
      <c r="G96" s="32">
        <v>0</v>
      </c>
      <c r="H96" s="32">
        <f>F96*AE96</f>
        <v>0</v>
      </c>
      <c r="I96" s="32">
        <f>J96-H96</f>
        <v>0</v>
      </c>
      <c r="J96" s="32">
        <f>F96*G96</f>
        <v>0</v>
      </c>
      <c r="K96" s="32">
        <v>0.011</v>
      </c>
      <c r="L96" s="32">
        <f>F96*K96</f>
        <v>0.05499999999999999</v>
      </c>
      <c r="M96" s="53" t="s">
        <v>405</v>
      </c>
      <c r="P96" s="57">
        <f>IF(AG96="5",J96,0)</f>
        <v>0</v>
      </c>
      <c r="R96" s="57">
        <f>IF(AG96="1",H96,0)</f>
        <v>0</v>
      </c>
      <c r="S96" s="57">
        <f>IF(AG96="1",I96,0)</f>
        <v>0</v>
      </c>
      <c r="T96" s="57">
        <f>IF(AG96="7",H96,0)</f>
        <v>0</v>
      </c>
      <c r="U96" s="57">
        <f>IF(AG96="7",I96,0)</f>
        <v>0</v>
      </c>
      <c r="V96" s="57">
        <f>IF(AG96="2",H96,0)</f>
        <v>0</v>
      </c>
      <c r="W96" s="57">
        <f>IF(AG96="2",I96,0)</f>
        <v>0</v>
      </c>
      <c r="X96" s="57">
        <f>IF(AG96="0",J96,0)</f>
        <v>0</v>
      </c>
      <c r="Y96" s="46"/>
      <c r="Z96" s="32">
        <f>IF(AD96=0,J96,0)</f>
        <v>0</v>
      </c>
      <c r="AA96" s="32">
        <f>IF(AD96=15,J96,0)</f>
        <v>0</v>
      </c>
      <c r="AB96" s="32">
        <f>IF(AD96=21,J96,0)</f>
        <v>0</v>
      </c>
      <c r="AD96" s="57">
        <v>21</v>
      </c>
      <c r="AE96" s="57">
        <f>G96*1</f>
        <v>0</v>
      </c>
      <c r="AF96" s="57">
        <f>G96*(1-1)</f>
        <v>0</v>
      </c>
      <c r="AG96" s="53" t="s">
        <v>13</v>
      </c>
      <c r="AM96" s="57">
        <f>F96*AE96</f>
        <v>0</v>
      </c>
      <c r="AN96" s="57">
        <f>F96*AF96</f>
        <v>0</v>
      </c>
      <c r="AO96" s="58" t="s">
        <v>420</v>
      </c>
      <c r="AP96" s="58" t="s">
        <v>430</v>
      </c>
      <c r="AQ96" s="46" t="s">
        <v>434</v>
      </c>
      <c r="AS96" s="57">
        <f>AM96+AN96</f>
        <v>0</v>
      </c>
      <c r="AT96" s="57">
        <f>G96/(100-AU96)*100</f>
        <v>0</v>
      </c>
      <c r="AU96" s="57">
        <v>0</v>
      </c>
      <c r="AV96" s="57">
        <f>L96</f>
        <v>0.05499999999999999</v>
      </c>
    </row>
    <row r="97" spans="1:48" ht="12.75">
      <c r="A97" s="10" t="s">
        <v>86</v>
      </c>
      <c r="B97" s="10"/>
      <c r="C97" s="10" t="s">
        <v>206</v>
      </c>
      <c r="D97" s="10" t="s">
        <v>328</v>
      </c>
      <c r="E97" s="10" t="s">
        <v>378</v>
      </c>
      <c r="F97" s="31">
        <v>22</v>
      </c>
      <c r="G97" s="31">
        <v>0</v>
      </c>
      <c r="H97" s="31">
        <f>F97*AE97</f>
        <v>0</v>
      </c>
      <c r="I97" s="31">
        <f>J97-H97</f>
        <v>0</v>
      </c>
      <c r="J97" s="31">
        <f>F97*G97</f>
        <v>0</v>
      </c>
      <c r="K97" s="31">
        <v>0.01933</v>
      </c>
      <c r="L97" s="31">
        <f>F97*K97</f>
        <v>0.42525999999999997</v>
      </c>
      <c r="M97" s="52" t="s">
        <v>405</v>
      </c>
      <c r="P97" s="57">
        <f>IF(AG97="5",J97,0)</f>
        <v>0</v>
      </c>
      <c r="R97" s="57">
        <f>IF(AG97="1",H97,0)</f>
        <v>0</v>
      </c>
      <c r="S97" s="57">
        <f>IF(AG97="1",I97,0)</f>
        <v>0</v>
      </c>
      <c r="T97" s="57">
        <f>IF(AG97="7",H97,0)</f>
        <v>0</v>
      </c>
      <c r="U97" s="57">
        <f>IF(AG97="7",I97,0)</f>
        <v>0</v>
      </c>
      <c r="V97" s="57">
        <f>IF(AG97="2",H97,0)</f>
        <v>0</v>
      </c>
      <c r="W97" s="57">
        <f>IF(AG97="2",I97,0)</f>
        <v>0</v>
      </c>
      <c r="X97" s="57">
        <f>IF(AG97="0",J97,0)</f>
        <v>0</v>
      </c>
      <c r="Y97" s="46"/>
      <c r="Z97" s="31">
        <f>IF(AD97=0,J97,0)</f>
        <v>0</v>
      </c>
      <c r="AA97" s="31">
        <f>IF(AD97=15,J97,0)</f>
        <v>0</v>
      </c>
      <c r="AB97" s="31">
        <f>IF(AD97=21,J97,0)</f>
        <v>0</v>
      </c>
      <c r="AD97" s="57">
        <v>21</v>
      </c>
      <c r="AE97" s="57">
        <f>G97*0</f>
        <v>0</v>
      </c>
      <c r="AF97" s="57">
        <f>G97*(1-0)</f>
        <v>0</v>
      </c>
      <c r="AG97" s="52" t="s">
        <v>13</v>
      </c>
      <c r="AM97" s="57">
        <f>F97*AE97</f>
        <v>0</v>
      </c>
      <c r="AN97" s="57">
        <f>F97*AF97</f>
        <v>0</v>
      </c>
      <c r="AO97" s="58" t="s">
        <v>420</v>
      </c>
      <c r="AP97" s="58" t="s">
        <v>430</v>
      </c>
      <c r="AQ97" s="46" t="s">
        <v>434</v>
      </c>
      <c r="AS97" s="57">
        <f>AM97+AN97</f>
        <v>0</v>
      </c>
      <c r="AT97" s="57">
        <f>G97/(100-AU97)*100</f>
        <v>0</v>
      </c>
      <c r="AU97" s="57">
        <v>0</v>
      </c>
      <c r="AV97" s="57">
        <f>L97</f>
        <v>0.42525999999999997</v>
      </c>
    </row>
    <row r="98" spans="1:48" ht="12.75">
      <c r="A98" s="10" t="s">
        <v>87</v>
      </c>
      <c r="B98" s="10"/>
      <c r="C98" s="10" t="s">
        <v>207</v>
      </c>
      <c r="D98" s="10" t="s">
        <v>329</v>
      </c>
      <c r="E98" s="10" t="s">
        <v>378</v>
      </c>
      <c r="F98" s="31">
        <v>24</v>
      </c>
      <c r="G98" s="31">
        <v>0</v>
      </c>
      <c r="H98" s="31">
        <f>F98*AE98</f>
        <v>0</v>
      </c>
      <c r="I98" s="31">
        <f>J98-H98</f>
        <v>0</v>
      </c>
      <c r="J98" s="31">
        <f>F98*G98</f>
        <v>0</v>
      </c>
      <c r="K98" s="31">
        <v>0.01946</v>
      </c>
      <c r="L98" s="31">
        <f>F98*K98</f>
        <v>0.46704</v>
      </c>
      <c r="M98" s="52" t="s">
        <v>405</v>
      </c>
      <c r="P98" s="57">
        <f>IF(AG98="5",J98,0)</f>
        <v>0</v>
      </c>
      <c r="R98" s="57">
        <f>IF(AG98="1",H98,0)</f>
        <v>0</v>
      </c>
      <c r="S98" s="57">
        <f>IF(AG98="1",I98,0)</f>
        <v>0</v>
      </c>
      <c r="T98" s="57">
        <f>IF(AG98="7",H98,0)</f>
        <v>0</v>
      </c>
      <c r="U98" s="57">
        <f>IF(AG98="7",I98,0)</f>
        <v>0</v>
      </c>
      <c r="V98" s="57">
        <f>IF(AG98="2",H98,0)</f>
        <v>0</v>
      </c>
      <c r="W98" s="57">
        <f>IF(AG98="2",I98,0)</f>
        <v>0</v>
      </c>
      <c r="X98" s="57">
        <f>IF(AG98="0",J98,0)</f>
        <v>0</v>
      </c>
      <c r="Y98" s="46"/>
      <c r="Z98" s="31">
        <f>IF(AD98=0,J98,0)</f>
        <v>0</v>
      </c>
      <c r="AA98" s="31">
        <f>IF(AD98=15,J98,0)</f>
        <v>0</v>
      </c>
      <c r="AB98" s="31">
        <f>IF(AD98=21,J98,0)</f>
        <v>0</v>
      </c>
      <c r="AD98" s="57">
        <v>21</v>
      </c>
      <c r="AE98" s="57">
        <f>G98*0</f>
        <v>0</v>
      </c>
      <c r="AF98" s="57">
        <f>G98*(1-0)</f>
        <v>0</v>
      </c>
      <c r="AG98" s="52" t="s">
        <v>13</v>
      </c>
      <c r="AM98" s="57">
        <f>F98*AE98</f>
        <v>0</v>
      </c>
      <c r="AN98" s="57">
        <f>F98*AF98</f>
        <v>0</v>
      </c>
      <c r="AO98" s="58" t="s">
        <v>420</v>
      </c>
      <c r="AP98" s="58" t="s">
        <v>430</v>
      </c>
      <c r="AQ98" s="46" t="s">
        <v>434</v>
      </c>
      <c r="AS98" s="57">
        <f>AM98+AN98</f>
        <v>0</v>
      </c>
      <c r="AT98" s="57">
        <f>G98/(100-AU98)*100</f>
        <v>0</v>
      </c>
      <c r="AU98" s="57">
        <v>0</v>
      </c>
      <c r="AV98" s="57">
        <f>L98</f>
        <v>0.46704</v>
      </c>
    </row>
    <row r="99" spans="1:48" ht="12.75">
      <c r="A99" s="10" t="s">
        <v>88</v>
      </c>
      <c r="B99" s="10"/>
      <c r="C99" s="10" t="s">
        <v>208</v>
      </c>
      <c r="D99" s="10" t="s">
        <v>330</v>
      </c>
      <c r="E99" s="10" t="s">
        <v>378</v>
      </c>
      <c r="F99" s="31">
        <v>5</v>
      </c>
      <c r="G99" s="31">
        <v>0</v>
      </c>
      <c r="H99" s="31">
        <f>F99*AE99</f>
        <v>0</v>
      </c>
      <c r="I99" s="31">
        <f>J99-H99</f>
        <v>0</v>
      </c>
      <c r="J99" s="31">
        <f>F99*G99</f>
        <v>0</v>
      </c>
      <c r="K99" s="31">
        <v>0.0245</v>
      </c>
      <c r="L99" s="31">
        <f>F99*K99</f>
        <v>0.1225</v>
      </c>
      <c r="M99" s="52" t="s">
        <v>405</v>
      </c>
      <c r="P99" s="57">
        <f>IF(AG99="5",J99,0)</f>
        <v>0</v>
      </c>
      <c r="R99" s="57">
        <f>IF(AG99="1",H99,0)</f>
        <v>0</v>
      </c>
      <c r="S99" s="57">
        <f>IF(AG99="1",I99,0)</f>
        <v>0</v>
      </c>
      <c r="T99" s="57">
        <f>IF(AG99="7",H99,0)</f>
        <v>0</v>
      </c>
      <c r="U99" s="57">
        <f>IF(AG99="7",I99,0)</f>
        <v>0</v>
      </c>
      <c r="V99" s="57">
        <f>IF(AG99="2",H99,0)</f>
        <v>0</v>
      </c>
      <c r="W99" s="57">
        <f>IF(AG99="2",I99,0)</f>
        <v>0</v>
      </c>
      <c r="X99" s="57">
        <f>IF(AG99="0",J99,0)</f>
        <v>0</v>
      </c>
      <c r="Y99" s="46"/>
      <c r="Z99" s="31">
        <f>IF(AD99=0,J99,0)</f>
        <v>0</v>
      </c>
      <c r="AA99" s="31">
        <f>IF(AD99=15,J99,0)</f>
        <v>0</v>
      </c>
      <c r="AB99" s="31">
        <f>IF(AD99=21,J99,0)</f>
        <v>0</v>
      </c>
      <c r="AD99" s="57">
        <v>21</v>
      </c>
      <c r="AE99" s="57">
        <f>G99*0</f>
        <v>0</v>
      </c>
      <c r="AF99" s="57">
        <f>G99*(1-0)</f>
        <v>0</v>
      </c>
      <c r="AG99" s="52" t="s">
        <v>13</v>
      </c>
      <c r="AM99" s="57">
        <f>F99*AE99</f>
        <v>0</v>
      </c>
      <c r="AN99" s="57">
        <f>F99*AF99</f>
        <v>0</v>
      </c>
      <c r="AO99" s="58" t="s">
        <v>420</v>
      </c>
      <c r="AP99" s="58" t="s">
        <v>430</v>
      </c>
      <c r="AQ99" s="46" t="s">
        <v>434</v>
      </c>
      <c r="AS99" s="57">
        <f>AM99+AN99</f>
        <v>0</v>
      </c>
      <c r="AT99" s="57">
        <f>G99/(100-AU99)*100</f>
        <v>0</v>
      </c>
      <c r="AU99" s="57">
        <v>0</v>
      </c>
      <c r="AV99" s="57">
        <f>L99</f>
        <v>0.1225</v>
      </c>
    </row>
    <row r="100" spans="1:48" ht="12.75">
      <c r="A100" s="10" t="s">
        <v>89</v>
      </c>
      <c r="B100" s="10"/>
      <c r="C100" s="10" t="s">
        <v>209</v>
      </c>
      <c r="D100" s="10" t="s">
        <v>331</v>
      </c>
      <c r="E100" s="10" t="s">
        <v>378</v>
      </c>
      <c r="F100" s="31">
        <v>22</v>
      </c>
      <c r="G100" s="31">
        <v>0</v>
      </c>
      <c r="H100" s="31">
        <f>F100*AE100</f>
        <v>0</v>
      </c>
      <c r="I100" s="31">
        <f>J100-H100</f>
        <v>0</v>
      </c>
      <c r="J100" s="31">
        <f>F100*G100</f>
        <v>0</v>
      </c>
      <c r="K100" s="31">
        <v>0.00017</v>
      </c>
      <c r="L100" s="31">
        <f>F100*K100</f>
        <v>0.0037400000000000003</v>
      </c>
      <c r="M100" s="52" t="s">
        <v>405</v>
      </c>
      <c r="P100" s="57">
        <f>IF(AG100="5",J100,0)</f>
        <v>0</v>
      </c>
      <c r="R100" s="57">
        <f>IF(AG100="1",H100,0)</f>
        <v>0</v>
      </c>
      <c r="S100" s="57">
        <f>IF(AG100="1",I100,0)</f>
        <v>0</v>
      </c>
      <c r="T100" s="57">
        <f>IF(AG100="7",H100,0)</f>
        <v>0</v>
      </c>
      <c r="U100" s="57">
        <f>IF(AG100="7",I100,0)</f>
        <v>0</v>
      </c>
      <c r="V100" s="57">
        <f>IF(AG100="2",H100,0)</f>
        <v>0</v>
      </c>
      <c r="W100" s="57">
        <f>IF(AG100="2",I100,0)</f>
        <v>0</v>
      </c>
      <c r="X100" s="57">
        <f>IF(AG100="0",J100,0)</f>
        <v>0</v>
      </c>
      <c r="Y100" s="46"/>
      <c r="Z100" s="31">
        <f>IF(AD100=0,J100,0)</f>
        <v>0</v>
      </c>
      <c r="AA100" s="31">
        <f>IF(AD100=15,J100,0)</f>
        <v>0</v>
      </c>
      <c r="AB100" s="31">
        <f>IF(AD100=21,J100,0)</f>
        <v>0</v>
      </c>
      <c r="AD100" s="57">
        <v>21</v>
      </c>
      <c r="AE100" s="57">
        <f>G100*0.51520618556701</f>
        <v>0</v>
      </c>
      <c r="AF100" s="57">
        <f>G100*(1-0.51520618556701)</f>
        <v>0</v>
      </c>
      <c r="AG100" s="52" t="s">
        <v>13</v>
      </c>
      <c r="AM100" s="57">
        <f>F100*AE100</f>
        <v>0</v>
      </c>
      <c r="AN100" s="57">
        <f>F100*AF100</f>
        <v>0</v>
      </c>
      <c r="AO100" s="58" t="s">
        <v>420</v>
      </c>
      <c r="AP100" s="58" t="s">
        <v>430</v>
      </c>
      <c r="AQ100" s="46" t="s">
        <v>434</v>
      </c>
      <c r="AS100" s="57">
        <f>AM100+AN100</f>
        <v>0</v>
      </c>
      <c r="AT100" s="57">
        <f>G100/(100-AU100)*100</f>
        <v>0</v>
      </c>
      <c r="AU100" s="57">
        <v>0</v>
      </c>
      <c r="AV100" s="57">
        <f>L100</f>
        <v>0.0037400000000000003</v>
      </c>
    </row>
    <row r="101" spans="1:48" ht="12.75">
      <c r="A101" s="10" t="s">
        <v>90</v>
      </c>
      <c r="B101" s="10"/>
      <c r="C101" s="10" t="s">
        <v>210</v>
      </c>
      <c r="D101" s="10" t="s">
        <v>332</v>
      </c>
      <c r="E101" s="10" t="s">
        <v>375</v>
      </c>
      <c r="F101" s="31">
        <v>19</v>
      </c>
      <c r="G101" s="31">
        <v>0</v>
      </c>
      <c r="H101" s="31">
        <f>F101*AE101</f>
        <v>0</v>
      </c>
      <c r="I101" s="31">
        <f>J101-H101</f>
        <v>0</v>
      </c>
      <c r="J101" s="31">
        <f>F101*G101</f>
        <v>0</v>
      </c>
      <c r="K101" s="31">
        <v>0.00049</v>
      </c>
      <c r="L101" s="31">
        <f>F101*K101</f>
        <v>0.009309999999999999</v>
      </c>
      <c r="M101" s="52" t="s">
        <v>405</v>
      </c>
      <c r="P101" s="57">
        <f>IF(AG101="5",J101,0)</f>
        <v>0</v>
      </c>
      <c r="R101" s="57">
        <f>IF(AG101="1",H101,0)</f>
        <v>0</v>
      </c>
      <c r="S101" s="57">
        <f>IF(AG101="1",I101,0)</f>
        <v>0</v>
      </c>
      <c r="T101" s="57">
        <f>IF(AG101="7",H101,0)</f>
        <v>0</v>
      </c>
      <c r="U101" s="57">
        <f>IF(AG101="7",I101,0)</f>
        <v>0</v>
      </c>
      <c r="V101" s="57">
        <f>IF(AG101="2",H101,0)</f>
        <v>0</v>
      </c>
      <c r="W101" s="57">
        <f>IF(AG101="2",I101,0)</f>
        <v>0</v>
      </c>
      <c r="X101" s="57">
        <f>IF(AG101="0",J101,0)</f>
        <v>0</v>
      </c>
      <c r="Y101" s="46"/>
      <c r="Z101" s="31">
        <f>IF(AD101=0,J101,0)</f>
        <v>0</v>
      </c>
      <c r="AA101" s="31">
        <f>IF(AD101=15,J101,0)</f>
        <v>0</v>
      </c>
      <c r="AB101" s="31">
        <f>IF(AD101=21,J101,0)</f>
        <v>0</v>
      </c>
      <c r="AD101" s="57">
        <v>21</v>
      </c>
      <c r="AE101" s="57">
        <f>G101*0</f>
        <v>0</v>
      </c>
      <c r="AF101" s="57">
        <f>G101*(1-0)</f>
        <v>0</v>
      </c>
      <c r="AG101" s="52" t="s">
        <v>13</v>
      </c>
      <c r="AM101" s="57">
        <f>F101*AE101</f>
        <v>0</v>
      </c>
      <c r="AN101" s="57">
        <f>F101*AF101</f>
        <v>0</v>
      </c>
      <c r="AO101" s="58" t="s">
        <v>420</v>
      </c>
      <c r="AP101" s="58" t="s">
        <v>430</v>
      </c>
      <c r="AQ101" s="46" t="s">
        <v>434</v>
      </c>
      <c r="AS101" s="57">
        <f>AM101+AN101</f>
        <v>0</v>
      </c>
      <c r="AT101" s="57">
        <f>G101/(100-AU101)*100</f>
        <v>0</v>
      </c>
      <c r="AU101" s="57">
        <v>0</v>
      </c>
      <c r="AV101" s="57">
        <f>L101</f>
        <v>0.009309999999999999</v>
      </c>
    </row>
    <row r="102" spans="1:48" ht="12.75">
      <c r="A102" s="10" t="s">
        <v>91</v>
      </c>
      <c r="B102" s="10"/>
      <c r="C102" s="10" t="s">
        <v>211</v>
      </c>
      <c r="D102" s="10" t="s">
        <v>333</v>
      </c>
      <c r="E102" s="10" t="s">
        <v>378</v>
      </c>
      <c r="F102" s="31">
        <v>19</v>
      </c>
      <c r="G102" s="31">
        <v>0</v>
      </c>
      <c r="H102" s="31">
        <f>F102*AE102</f>
        <v>0</v>
      </c>
      <c r="I102" s="31">
        <f>J102-H102</f>
        <v>0</v>
      </c>
      <c r="J102" s="31">
        <f>F102*G102</f>
        <v>0</v>
      </c>
      <c r="K102" s="31">
        <v>8E-05</v>
      </c>
      <c r="L102" s="31">
        <f>F102*K102</f>
        <v>0.00152</v>
      </c>
      <c r="M102" s="52" t="s">
        <v>405</v>
      </c>
      <c r="P102" s="57">
        <f>IF(AG102="5",J102,0)</f>
        <v>0</v>
      </c>
      <c r="R102" s="57">
        <f>IF(AG102="1",H102,0)</f>
        <v>0</v>
      </c>
      <c r="S102" s="57">
        <f>IF(AG102="1",I102,0)</f>
        <v>0</v>
      </c>
      <c r="T102" s="57">
        <f>IF(AG102="7",H102,0)</f>
        <v>0</v>
      </c>
      <c r="U102" s="57">
        <f>IF(AG102="7",I102,0)</f>
        <v>0</v>
      </c>
      <c r="V102" s="57">
        <f>IF(AG102="2",H102,0)</f>
        <v>0</v>
      </c>
      <c r="W102" s="57">
        <f>IF(AG102="2",I102,0)</f>
        <v>0</v>
      </c>
      <c r="X102" s="57">
        <f>IF(AG102="0",J102,0)</f>
        <v>0</v>
      </c>
      <c r="Y102" s="46"/>
      <c r="Z102" s="31">
        <f>IF(AD102=0,J102,0)</f>
        <v>0</v>
      </c>
      <c r="AA102" s="31">
        <f>IF(AD102=15,J102,0)</f>
        <v>0</v>
      </c>
      <c r="AB102" s="31">
        <f>IF(AD102=21,J102,0)</f>
        <v>0</v>
      </c>
      <c r="AD102" s="57">
        <v>21</v>
      </c>
      <c r="AE102" s="57">
        <f>G102*0.354690265486726</f>
        <v>0</v>
      </c>
      <c r="AF102" s="57">
        <f>G102*(1-0.354690265486726)</f>
        <v>0</v>
      </c>
      <c r="AG102" s="52" t="s">
        <v>13</v>
      </c>
      <c r="AM102" s="57">
        <f>F102*AE102</f>
        <v>0</v>
      </c>
      <c r="AN102" s="57">
        <f>F102*AF102</f>
        <v>0</v>
      </c>
      <c r="AO102" s="58" t="s">
        <v>420</v>
      </c>
      <c r="AP102" s="58" t="s">
        <v>430</v>
      </c>
      <c r="AQ102" s="46" t="s">
        <v>434</v>
      </c>
      <c r="AS102" s="57">
        <f>AM102+AN102</f>
        <v>0</v>
      </c>
      <c r="AT102" s="57">
        <f>G102/(100-AU102)*100</f>
        <v>0</v>
      </c>
      <c r="AU102" s="57">
        <v>0</v>
      </c>
      <c r="AV102" s="57">
        <f>L102</f>
        <v>0.00152</v>
      </c>
    </row>
    <row r="103" spans="1:48" ht="12.75">
      <c r="A103" s="12" t="s">
        <v>92</v>
      </c>
      <c r="B103" s="12"/>
      <c r="C103" s="12" t="s">
        <v>212</v>
      </c>
      <c r="D103" s="12" t="s">
        <v>334</v>
      </c>
      <c r="E103" s="12" t="s">
        <v>375</v>
      </c>
      <c r="F103" s="32">
        <v>19</v>
      </c>
      <c r="G103" s="32">
        <v>0</v>
      </c>
      <c r="H103" s="32">
        <f>F103*AE103</f>
        <v>0</v>
      </c>
      <c r="I103" s="32">
        <f>J103-H103</f>
        <v>0</v>
      </c>
      <c r="J103" s="32">
        <f>F103*G103</f>
        <v>0</v>
      </c>
      <c r="K103" s="32">
        <v>0.00036</v>
      </c>
      <c r="L103" s="32">
        <f>F103*K103</f>
        <v>0.006840000000000001</v>
      </c>
      <c r="M103" s="53" t="s">
        <v>405</v>
      </c>
      <c r="P103" s="57">
        <f>IF(AG103="5",J103,0)</f>
        <v>0</v>
      </c>
      <c r="R103" s="57">
        <f>IF(AG103="1",H103,0)</f>
        <v>0</v>
      </c>
      <c r="S103" s="57">
        <f>IF(AG103="1",I103,0)</f>
        <v>0</v>
      </c>
      <c r="T103" s="57">
        <f>IF(AG103="7",H103,0)</f>
        <v>0</v>
      </c>
      <c r="U103" s="57">
        <f>IF(AG103="7",I103,0)</f>
        <v>0</v>
      </c>
      <c r="V103" s="57">
        <f>IF(AG103="2",H103,0)</f>
        <v>0</v>
      </c>
      <c r="W103" s="57">
        <f>IF(AG103="2",I103,0)</f>
        <v>0</v>
      </c>
      <c r="X103" s="57">
        <f>IF(AG103="0",J103,0)</f>
        <v>0</v>
      </c>
      <c r="Y103" s="46"/>
      <c r="Z103" s="32">
        <f>IF(AD103=0,J103,0)</f>
        <v>0</v>
      </c>
      <c r="AA103" s="32">
        <f>IF(AD103=15,J103,0)</f>
        <v>0</v>
      </c>
      <c r="AB103" s="32">
        <f>IF(AD103=21,J103,0)</f>
        <v>0</v>
      </c>
      <c r="AD103" s="57">
        <v>21</v>
      </c>
      <c r="AE103" s="57">
        <f>G103*1</f>
        <v>0</v>
      </c>
      <c r="AF103" s="57">
        <f>G103*(1-1)</f>
        <v>0</v>
      </c>
      <c r="AG103" s="53" t="s">
        <v>13</v>
      </c>
      <c r="AM103" s="57">
        <f>F103*AE103</f>
        <v>0</v>
      </c>
      <c r="AN103" s="57">
        <f>F103*AF103</f>
        <v>0</v>
      </c>
      <c r="AO103" s="58" t="s">
        <v>420</v>
      </c>
      <c r="AP103" s="58" t="s">
        <v>430</v>
      </c>
      <c r="AQ103" s="46" t="s">
        <v>434</v>
      </c>
      <c r="AS103" s="57">
        <f>AM103+AN103</f>
        <v>0</v>
      </c>
      <c r="AT103" s="57">
        <f>G103/(100-AU103)*100</f>
        <v>0</v>
      </c>
      <c r="AU103" s="57">
        <v>0</v>
      </c>
      <c r="AV103" s="57">
        <f>L103</f>
        <v>0.006840000000000001</v>
      </c>
    </row>
    <row r="104" spans="1:48" ht="12.75">
      <c r="A104" s="10" t="s">
        <v>93</v>
      </c>
      <c r="B104" s="10"/>
      <c r="C104" s="10" t="s">
        <v>213</v>
      </c>
      <c r="D104" s="10" t="s">
        <v>335</v>
      </c>
      <c r="E104" s="10" t="s">
        <v>375</v>
      </c>
      <c r="F104" s="31">
        <v>5</v>
      </c>
      <c r="G104" s="31">
        <v>0</v>
      </c>
      <c r="H104" s="31">
        <f>F104*AE104</f>
        <v>0</v>
      </c>
      <c r="I104" s="31">
        <f>J104-H104</f>
        <v>0</v>
      </c>
      <c r="J104" s="31">
        <f>F104*G104</f>
        <v>0</v>
      </c>
      <c r="K104" s="31">
        <v>0.00085</v>
      </c>
      <c r="L104" s="31">
        <f>F104*K104</f>
        <v>0.0042499999999999994</v>
      </c>
      <c r="M104" s="52" t="s">
        <v>405</v>
      </c>
      <c r="P104" s="57">
        <f>IF(AG104="5",J104,0)</f>
        <v>0</v>
      </c>
      <c r="R104" s="57">
        <f>IF(AG104="1",H104,0)</f>
        <v>0</v>
      </c>
      <c r="S104" s="57">
        <f>IF(AG104="1",I104,0)</f>
        <v>0</v>
      </c>
      <c r="T104" s="57">
        <f>IF(AG104="7",H104,0)</f>
        <v>0</v>
      </c>
      <c r="U104" s="57">
        <f>IF(AG104="7",I104,0)</f>
        <v>0</v>
      </c>
      <c r="V104" s="57">
        <f>IF(AG104="2",H104,0)</f>
        <v>0</v>
      </c>
      <c r="W104" s="57">
        <f>IF(AG104="2",I104,0)</f>
        <v>0</v>
      </c>
      <c r="X104" s="57">
        <f>IF(AG104="0",J104,0)</f>
        <v>0</v>
      </c>
      <c r="Y104" s="46"/>
      <c r="Z104" s="31">
        <f>IF(AD104=0,J104,0)</f>
        <v>0</v>
      </c>
      <c r="AA104" s="31">
        <f>IF(AD104=15,J104,0)</f>
        <v>0</v>
      </c>
      <c r="AB104" s="31">
        <f>IF(AD104=21,J104,0)</f>
        <v>0</v>
      </c>
      <c r="AD104" s="57">
        <v>21</v>
      </c>
      <c r="AE104" s="57">
        <f>G104*0.904023945861531</f>
        <v>0</v>
      </c>
      <c r="AF104" s="57">
        <f>G104*(1-0.904023945861531)</f>
        <v>0</v>
      </c>
      <c r="AG104" s="52" t="s">
        <v>13</v>
      </c>
      <c r="AM104" s="57">
        <f>F104*AE104</f>
        <v>0</v>
      </c>
      <c r="AN104" s="57">
        <f>F104*AF104</f>
        <v>0</v>
      </c>
      <c r="AO104" s="58" t="s">
        <v>420</v>
      </c>
      <c r="AP104" s="58" t="s">
        <v>430</v>
      </c>
      <c r="AQ104" s="46" t="s">
        <v>434</v>
      </c>
      <c r="AS104" s="57">
        <f>AM104+AN104</f>
        <v>0</v>
      </c>
      <c r="AT104" s="57">
        <f>G104/(100-AU104)*100</f>
        <v>0</v>
      </c>
      <c r="AU104" s="57">
        <v>0</v>
      </c>
      <c r="AV104" s="57">
        <f>L104</f>
        <v>0.0042499999999999994</v>
      </c>
    </row>
    <row r="105" spans="1:48" ht="12.75">
      <c r="A105" s="10" t="s">
        <v>94</v>
      </c>
      <c r="B105" s="10"/>
      <c r="C105" s="10" t="s">
        <v>214</v>
      </c>
      <c r="D105" s="10" t="s">
        <v>336</v>
      </c>
      <c r="E105" s="10" t="s">
        <v>375</v>
      </c>
      <c r="F105" s="31">
        <v>2</v>
      </c>
      <c r="G105" s="31">
        <v>0</v>
      </c>
      <c r="H105" s="31">
        <f>F105*AE105</f>
        <v>0</v>
      </c>
      <c r="I105" s="31">
        <f>J105-H105</f>
        <v>0</v>
      </c>
      <c r="J105" s="31">
        <f>F105*G105</f>
        <v>0</v>
      </c>
      <c r="K105" s="31">
        <v>0.00172</v>
      </c>
      <c r="L105" s="31">
        <f>F105*K105</f>
        <v>0.00344</v>
      </c>
      <c r="M105" s="52" t="s">
        <v>405</v>
      </c>
      <c r="P105" s="57">
        <f>IF(AG105="5",J105,0)</f>
        <v>0</v>
      </c>
      <c r="R105" s="57">
        <f>IF(AG105="1",H105,0)</f>
        <v>0</v>
      </c>
      <c r="S105" s="57">
        <f>IF(AG105="1",I105,0)</f>
        <v>0</v>
      </c>
      <c r="T105" s="57">
        <f>IF(AG105="7",H105,0)</f>
        <v>0</v>
      </c>
      <c r="U105" s="57">
        <f>IF(AG105="7",I105,0)</f>
        <v>0</v>
      </c>
      <c r="V105" s="57">
        <f>IF(AG105="2",H105,0)</f>
        <v>0</v>
      </c>
      <c r="W105" s="57">
        <f>IF(AG105="2",I105,0)</f>
        <v>0</v>
      </c>
      <c r="X105" s="57">
        <f>IF(AG105="0",J105,0)</f>
        <v>0</v>
      </c>
      <c r="Y105" s="46"/>
      <c r="Z105" s="31">
        <f>IF(AD105=0,J105,0)</f>
        <v>0</v>
      </c>
      <c r="AA105" s="31">
        <f>IF(AD105=15,J105,0)</f>
        <v>0</v>
      </c>
      <c r="AB105" s="31">
        <f>IF(AD105=21,J105,0)</f>
        <v>0</v>
      </c>
      <c r="AD105" s="57">
        <v>21</v>
      </c>
      <c r="AE105" s="57">
        <f>G105*0.905410071942446</f>
        <v>0</v>
      </c>
      <c r="AF105" s="57">
        <f>G105*(1-0.905410071942446)</f>
        <v>0</v>
      </c>
      <c r="AG105" s="52" t="s">
        <v>13</v>
      </c>
      <c r="AM105" s="57">
        <f>F105*AE105</f>
        <v>0</v>
      </c>
      <c r="AN105" s="57">
        <f>F105*AF105</f>
        <v>0</v>
      </c>
      <c r="AO105" s="58" t="s">
        <v>420</v>
      </c>
      <c r="AP105" s="58" t="s">
        <v>430</v>
      </c>
      <c r="AQ105" s="46" t="s">
        <v>434</v>
      </c>
      <c r="AS105" s="57">
        <f>AM105+AN105</f>
        <v>0</v>
      </c>
      <c r="AT105" s="57">
        <f>G105/(100-AU105)*100</f>
        <v>0</v>
      </c>
      <c r="AU105" s="57">
        <v>0</v>
      </c>
      <c r="AV105" s="57">
        <f>L105</f>
        <v>0.00344</v>
      </c>
    </row>
    <row r="106" spans="1:48" ht="12.75">
      <c r="A106" s="10" t="s">
        <v>95</v>
      </c>
      <c r="B106" s="10"/>
      <c r="C106" s="10" t="s">
        <v>215</v>
      </c>
      <c r="D106" s="10" t="s">
        <v>337</v>
      </c>
      <c r="E106" s="10" t="s">
        <v>375</v>
      </c>
      <c r="F106" s="31">
        <v>8</v>
      </c>
      <c r="G106" s="31">
        <v>0</v>
      </c>
      <c r="H106" s="31">
        <f>F106*AE106</f>
        <v>0</v>
      </c>
      <c r="I106" s="31">
        <f>J106-H106</f>
        <v>0</v>
      </c>
      <c r="J106" s="31">
        <f>F106*G106</f>
        <v>0</v>
      </c>
      <c r="K106" s="31">
        <v>0.00152</v>
      </c>
      <c r="L106" s="31">
        <f>F106*K106</f>
        <v>0.01216</v>
      </c>
      <c r="M106" s="52" t="s">
        <v>405</v>
      </c>
      <c r="P106" s="57">
        <f>IF(AG106="5",J106,0)</f>
        <v>0</v>
      </c>
      <c r="R106" s="57">
        <f>IF(AG106="1",H106,0)</f>
        <v>0</v>
      </c>
      <c r="S106" s="57">
        <f>IF(AG106="1",I106,0)</f>
        <v>0</v>
      </c>
      <c r="T106" s="57">
        <f>IF(AG106="7",H106,0)</f>
        <v>0</v>
      </c>
      <c r="U106" s="57">
        <f>IF(AG106="7",I106,0)</f>
        <v>0</v>
      </c>
      <c r="V106" s="57">
        <f>IF(AG106="2",H106,0)</f>
        <v>0</v>
      </c>
      <c r="W106" s="57">
        <f>IF(AG106="2",I106,0)</f>
        <v>0</v>
      </c>
      <c r="X106" s="57">
        <f>IF(AG106="0",J106,0)</f>
        <v>0</v>
      </c>
      <c r="Y106" s="46"/>
      <c r="Z106" s="31">
        <f>IF(AD106=0,J106,0)</f>
        <v>0</v>
      </c>
      <c r="AA106" s="31">
        <f>IF(AD106=15,J106,0)</f>
        <v>0</v>
      </c>
      <c r="AB106" s="31">
        <f>IF(AD106=21,J106,0)</f>
        <v>0</v>
      </c>
      <c r="AD106" s="57">
        <v>21</v>
      </c>
      <c r="AE106" s="57">
        <f>G106*0.865262411426102</f>
        <v>0</v>
      </c>
      <c r="AF106" s="57">
        <f>G106*(1-0.865262411426102)</f>
        <v>0</v>
      </c>
      <c r="AG106" s="52" t="s">
        <v>13</v>
      </c>
      <c r="AM106" s="57">
        <f>F106*AE106</f>
        <v>0</v>
      </c>
      <c r="AN106" s="57">
        <f>F106*AF106</f>
        <v>0</v>
      </c>
      <c r="AO106" s="58" t="s">
        <v>420</v>
      </c>
      <c r="AP106" s="58" t="s">
        <v>430</v>
      </c>
      <c r="AQ106" s="46" t="s">
        <v>434</v>
      </c>
      <c r="AS106" s="57">
        <f>AM106+AN106</f>
        <v>0</v>
      </c>
      <c r="AT106" s="57">
        <f>G106/(100-AU106)*100</f>
        <v>0</v>
      </c>
      <c r="AU106" s="57">
        <v>0</v>
      </c>
      <c r="AV106" s="57">
        <f>L106</f>
        <v>0.01216</v>
      </c>
    </row>
    <row r="107" spans="1:48" ht="12.75">
      <c r="A107" s="10" t="s">
        <v>96</v>
      </c>
      <c r="B107" s="10"/>
      <c r="C107" s="10" t="s">
        <v>216</v>
      </c>
      <c r="D107" s="10" t="s">
        <v>338</v>
      </c>
      <c r="E107" s="10" t="s">
        <v>375</v>
      </c>
      <c r="F107" s="31">
        <v>2</v>
      </c>
      <c r="G107" s="31">
        <v>0</v>
      </c>
      <c r="H107" s="31">
        <f>F107*AE107</f>
        <v>0</v>
      </c>
      <c r="I107" s="31">
        <f>J107-H107</f>
        <v>0</v>
      </c>
      <c r="J107" s="31">
        <f>F107*G107</f>
        <v>0</v>
      </c>
      <c r="K107" s="31">
        <v>0.00107</v>
      </c>
      <c r="L107" s="31">
        <f>F107*K107</f>
        <v>0.00214</v>
      </c>
      <c r="M107" s="52" t="s">
        <v>405</v>
      </c>
      <c r="P107" s="57">
        <f>IF(AG107="5",J107,0)</f>
        <v>0</v>
      </c>
      <c r="R107" s="57">
        <f>IF(AG107="1",H107,0)</f>
        <v>0</v>
      </c>
      <c r="S107" s="57">
        <f>IF(AG107="1",I107,0)</f>
        <v>0</v>
      </c>
      <c r="T107" s="57">
        <f>IF(AG107="7",H107,0)</f>
        <v>0</v>
      </c>
      <c r="U107" s="57">
        <f>IF(AG107="7",I107,0)</f>
        <v>0</v>
      </c>
      <c r="V107" s="57">
        <f>IF(AG107="2",H107,0)</f>
        <v>0</v>
      </c>
      <c r="W107" s="57">
        <f>IF(AG107="2",I107,0)</f>
        <v>0</v>
      </c>
      <c r="X107" s="57">
        <f>IF(AG107="0",J107,0)</f>
        <v>0</v>
      </c>
      <c r="Y107" s="46"/>
      <c r="Z107" s="31">
        <f>IF(AD107=0,J107,0)</f>
        <v>0</v>
      </c>
      <c r="AA107" s="31">
        <f>IF(AD107=15,J107,0)</f>
        <v>0</v>
      </c>
      <c r="AB107" s="31">
        <f>IF(AD107=21,J107,0)</f>
        <v>0</v>
      </c>
      <c r="AD107" s="57">
        <v>21</v>
      </c>
      <c r="AE107" s="57">
        <f>G107*0.966359846997205</f>
        <v>0</v>
      </c>
      <c r="AF107" s="57">
        <f>G107*(1-0.966359846997205)</f>
        <v>0</v>
      </c>
      <c r="AG107" s="52" t="s">
        <v>13</v>
      </c>
      <c r="AM107" s="57">
        <f>F107*AE107</f>
        <v>0</v>
      </c>
      <c r="AN107" s="57">
        <f>F107*AF107</f>
        <v>0</v>
      </c>
      <c r="AO107" s="58" t="s">
        <v>420</v>
      </c>
      <c r="AP107" s="58" t="s">
        <v>430</v>
      </c>
      <c r="AQ107" s="46" t="s">
        <v>434</v>
      </c>
      <c r="AS107" s="57">
        <f>AM107+AN107</f>
        <v>0</v>
      </c>
      <c r="AT107" s="57">
        <f>G107/(100-AU107)*100</f>
        <v>0</v>
      </c>
      <c r="AU107" s="57">
        <v>0</v>
      </c>
      <c r="AV107" s="57">
        <f>L107</f>
        <v>0.00214</v>
      </c>
    </row>
    <row r="108" spans="1:37" ht="12.75">
      <c r="A108" s="11"/>
      <c r="B108" s="24"/>
      <c r="C108" s="24" t="s">
        <v>217</v>
      </c>
      <c r="D108" s="24" t="s">
        <v>339</v>
      </c>
      <c r="E108" s="11" t="s">
        <v>6</v>
      </c>
      <c r="F108" s="11" t="s">
        <v>6</v>
      </c>
      <c r="G108" s="11" t="s">
        <v>6</v>
      </c>
      <c r="H108" s="60">
        <f>SUM(H109:H110)</f>
        <v>0</v>
      </c>
      <c r="I108" s="60">
        <f>SUM(I109:I110)</f>
        <v>0</v>
      </c>
      <c r="J108" s="60">
        <f>H108+I108</f>
        <v>0</v>
      </c>
      <c r="K108" s="46"/>
      <c r="L108" s="60">
        <f>SUM(L109:L110)</f>
        <v>0.131</v>
      </c>
      <c r="M108" s="46"/>
      <c r="Y108" s="46"/>
      <c r="AI108" s="60">
        <f>SUM(Z109:Z110)</f>
        <v>0</v>
      </c>
      <c r="AJ108" s="60">
        <f>SUM(AA109:AA110)</f>
        <v>0</v>
      </c>
      <c r="AK108" s="60">
        <f>SUM(AB109:AB110)</f>
        <v>0</v>
      </c>
    </row>
    <row r="109" spans="1:48" ht="12.75">
      <c r="A109" s="10" t="s">
        <v>97</v>
      </c>
      <c r="B109" s="10"/>
      <c r="C109" s="10" t="s">
        <v>218</v>
      </c>
      <c r="D109" s="10" t="s">
        <v>340</v>
      </c>
      <c r="E109" s="10" t="s">
        <v>378</v>
      </c>
      <c r="F109" s="31">
        <v>1</v>
      </c>
      <c r="G109" s="31">
        <v>0</v>
      </c>
      <c r="H109" s="31">
        <f>F109*AE109</f>
        <v>0</v>
      </c>
      <c r="I109" s="31">
        <f>J109-H109</f>
        <v>0</v>
      </c>
      <c r="J109" s="31">
        <f>F109*G109</f>
        <v>0</v>
      </c>
      <c r="K109" s="31">
        <v>0.011</v>
      </c>
      <c r="L109" s="31">
        <f>F109*K109</f>
        <v>0.011</v>
      </c>
      <c r="M109" s="52" t="s">
        <v>405</v>
      </c>
      <c r="P109" s="57">
        <f>IF(AG109="5",J109,0)</f>
        <v>0</v>
      </c>
      <c r="R109" s="57">
        <f>IF(AG109="1",H109,0)</f>
        <v>0</v>
      </c>
      <c r="S109" s="57">
        <f>IF(AG109="1",I109,0)</f>
        <v>0</v>
      </c>
      <c r="T109" s="57">
        <f>IF(AG109="7",H109,0)</f>
        <v>0</v>
      </c>
      <c r="U109" s="57">
        <f>IF(AG109="7",I109,0)</f>
        <v>0</v>
      </c>
      <c r="V109" s="57">
        <f>IF(AG109="2",H109,0)</f>
        <v>0</v>
      </c>
      <c r="W109" s="57">
        <f>IF(AG109="2",I109,0)</f>
        <v>0</v>
      </c>
      <c r="X109" s="57">
        <f>IF(AG109="0",J109,0)</f>
        <v>0</v>
      </c>
      <c r="Y109" s="46"/>
      <c r="Z109" s="31">
        <f>IF(AD109=0,J109,0)</f>
        <v>0</v>
      </c>
      <c r="AA109" s="31">
        <f>IF(AD109=15,J109,0)</f>
        <v>0</v>
      </c>
      <c r="AB109" s="31">
        <f>IF(AD109=21,J109,0)</f>
        <v>0</v>
      </c>
      <c r="AD109" s="57">
        <v>21</v>
      </c>
      <c r="AE109" s="57">
        <f>G109*0.9397596833611</f>
        <v>0</v>
      </c>
      <c r="AF109" s="57">
        <f>G109*(1-0.9397596833611)</f>
        <v>0</v>
      </c>
      <c r="AG109" s="52" t="s">
        <v>13</v>
      </c>
      <c r="AM109" s="57">
        <f>F109*AE109</f>
        <v>0</v>
      </c>
      <c r="AN109" s="57">
        <f>F109*AF109</f>
        <v>0</v>
      </c>
      <c r="AO109" s="58" t="s">
        <v>421</v>
      </c>
      <c r="AP109" s="58" t="s">
        <v>430</v>
      </c>
      <c r="AQ109" s="46" t="s">
        <v>434</v>
      </c>
      <c r="AS109" s="57">
        <f>AM109+AN109</f>
        <v>0</v>
      </c>
      <c r="AT109" s="57">
        <f>G109/(100-AU109)*100</f>
        <v>0</v>
      </c>
      <c r="AU109" s="57">
        <v>0</v>
      </c>
      <c r="AV109" s="57">
        <f>L109</f>
        <v>0.011</v>
      </c>
    </row>
    <row r="110" spans="1:48" ht="12.75">
      <c r="A110" s="10" t="s">
        <v>98</v>
      </c>
      <c r="B110" s="10"/>
      <c r="C110" s="10" t="s">
        <v>219</v>
      </c>
      <c r="D110" s="10" t="s">
        <v>341</v>
      </c>
      <c r="E110" s="10" t="s">
        <v>378</v>
      </c>
      <c r="F110" s="31">
        <v>20</v>
      </c>
      <c r="G110" s="31">
        <v>0</v>
      </c>
      <c r="H110" s="31">
        <f>F110*AE110</f>
        <v>0</v>
      </c>
      <c r="I110" s="31">
        <f>J110-H110</f>
        <v>0</v>
      </c>
      <c r="J110" s="31">
        <f>F110*G110</f>
        <v>0</v>
      </c>
      <c r="K110" s="31">
        <v>0.006</v>
      </c>
      <c r="L110" s="31">
        <f>F110*K110</f>
        <v>0.12</v>
      </c>
      <c r="M110" s="52" t="s">
        <v>405</v>
      </c>
      <c r="P110" s="57">
        <f>IF(AG110="5",J110,0)</f>
        <v>0</v>
      </c>
      <c r="R110" s="57">
        <f>IF(AG110="1",H110,0)</f>
        <v>0</v>
      </c>
      <c r="S110" s="57">
        <f>IF(AG110="1",I110,0)</f>
        <v>0</v>
      </c>
      <c r="T110" s="57">
        <f>IF(AG110="7",H110,0)</f>
        <v>0</v>
      </c>
      <c r="U110" s="57">
        <f>IF(AG110="7",I110,0)</f>
        <v>0</v>
      </c>
      <c r="V110" s="57">
        <f>IF(AG110="2",H110,0)</f>
        <v>0</v>
      </c>
      <c r="W110" s="57">
        <f>IF(AG110="2",I110,0)</f>
        <v>0</v>
      </c>
      <c r="X110" s="57">
        <f>IF(AG110="0",J110,0)</f>
        <v>0</v>
      </c>
      <c r="Y110" s="46"/>
      <c r="Z110" s="31">
        <f>IF(AD110=0,J110,0)</f>
        <v>0</v>
      </c>
      <c r="AA110" s="31">
        <f>IF(AD110=15,J110,0)</f>
        <v>0</v>
      </c>
      <c r="AB110" s="31">
        <f>IF(AD110=21,J110,0)</f>
        <v>0</v>
      </c>
      <c r="AD110" s="57">
        <v>21</v>
      </c>
      <c r="AE110" s="57">
        <f>G110*0.774906077348066</f>
        <v>0</v>
      </c>
      <c r="AF110" s="57">
        <f>G110*(1-0.774906077348066)</f>
        <v>0</v>
      </c>
      <c r="AG110" s="52" t="s">
        <v>13</v>
      </c>
      <c r="AM110" s="57">
        <f>F110*AE110</f>
        <v>0</v>
      </c>
      <c r="AN110" s="57">
        <f>F110*AF110</f>
        <v>0</v>
      </c>
      <c r="AO110" s="58" t="s">
        <v>421</v>
      </c>
      <c r="AP110" s="58" t="s">
        <v>430</v>
      </c>
      <c r="AQ110" s="46" t="s">
        <v>434</v>
      </c>
      <c r="AS110" s="57">
        <f>AM110+AN110</f>
        <v>0</v>
      </c>
      <c r="AT110" s="57">
        <f>G110/(100-AU110)*100</f>
        <v>0</v>
      </c>
      <c r="AU110" s="57">
        <v>0</v>
      </c>
      <c r="AV110" s="57">
        <f>L110</f>
        <v>0.12</v>
      </c>
    </row>
    <row r="111" spans="1:37" ht="12.75">
      <c r="A111" s="11"/>
      <c r="B111" s="24"/>
      <c r="C111" s="24" t="s">
        <v>220</v>
      </c>
      <c r="D111" s="24" t="s">
        <v>342</v>
      </c>
      <c r="E111" s="11" t="s">
        <v>6</v>
      </c>
      <c r="F111" s="11" t="s">
        <v>6</v>
      </c>
      <c r="G111" s="11" t="s">
        <v>6</v>
      </c>
      <c r="H111" s="60">
        <f>SUM(H112:H112)</f>
        <v>0</v>
      </c>
      <c r="I111" s="60">
        <f>SUM(I112:I112)</f>
        <v>0</v>
      </c>
      <c r="J111" s="60">
        <f>H111+I111</f>
        <v>0</v>
      </c>
      <c r="K111" s="46"/>
      <c r="L111" s="60">
        <f>SUM(L112:L112)</f>
        <v>0.0076</v>
      </c>
      <c r="M111" s="46"/>
      <c r="Y111" s="46"/>
      <c r="AI111" s="60">
        <f>SUM(Z112:Z112)</f>
        <v>0</v>
      </c>
      <c r="AJ111" s="60">
        <f>SUM(AA112:AA112)</f>
        <v>0</v>
      </c>
      <c r="AK111" s="60">
        <f>SUM(AB112:AB112)</f>
        <v>0</v>
      </c>
    </row>
    <row r="112" spans="1:48" ht="12.75">
      <c r="A112" s="10" t="s">
        <v>99</v>
      </c>
      <c r="B112" s="10"/>
      <c r="C112" s="10" t="s">
        <v>221</v>
      </c>
      <c r="D112" s="10" t="s">
        <v>343</v>
      </c>
      <c r="E112" s="10" t="s">
        <v>375</v>
      </c>
      <c r="F112" s="31">
        <v>4</v>
      </c>
      <c r="G112" s="31">
        <v>0</v>
      </c>
      <c r="H112" s="31">
        <f>F112*AE112</f>
        <v>0</v>
      </c>
      <c r="I112" s="31">
        <f>J112-H112</f>
        <v>0</v>
      </c>
      <c r="J112" s="31">
        <f>F112*G112</f>
        <v>0</v>
      </c>
      <c r="K112" s="31">
        <v>0.0019</v>
      </c>
      <c r="L112" s="31">
        <f>F112*K112</f>
        <v>0.0076</v>
      </c>
      <c r="M112" s="52" t="s">
        <v>405</v>
      </c>
      <c r="P112" s="57">
        <f>IF(AG112="5",J112,0)</f>
        <v>0</v>
      </c>
      <c r="R112" s="57">
        <f>IF(AG112="1",H112,0)</f>
        <v>0</v>
      </c>
      <c r="S112" s="57">
        <f>IF(AG112="1",I112,0)</f>
        <v>0</v>
      </c>
      <c r="T112" s="57">
        <f>IF(AG112="7",H112,0)</f>
        <v>0</v>
      </c>
      <c r="U112" s="57">
        <f>IF(AG112="7",I112,0)</f>
        <v>0</v>
      </c>
      <c r="V112" s="57">
        <f>IF(AG112="2",H112,0)</f>
        <v>0</v>
      </c>
      <c r="W112" s="57">
        <f>IF(AG112="2",I112,0)</f>
        <v>0</v>
      </c>
      <c r="X112" s="57">
        <f>IF(AG112="0",J112,0)</f>
        <v>0</v>
      </c>
      <c r="Y112" s="46"/>
      <c r="Z112" s="31">
        <f>IF(AD112=0,J112,0)</f>
        <v>0</v>
      </c>
      <c r="AA112" s="31">
        <f>IF(AD112=15,J112,0)</f>
        <v>0</v>
      </c>
      <c r="AB112" s="31">
        <f>IF(AD112=21,J112,0)</f>
        <v>0</v>
      </c>
      <c r="AD112" s="57">
        <v>21</v>
      </c>
      <c r="AE112" s="57">
        <f>G112*0.993280968468468</f>
        <v>0</v>
      </c>
      <c r="AF112" s="57">
        <f>G112*(1-0.993280968468468)</f>
        <v>0</v>
      </c>
      <c r="AG112" s="52" t="s">
        <v>13</v>
      </c>
      <c r="AM112" s="57">
        <f>F112*AE112</f>
        <v>0</v>
      </c>
      <c r="AN112" s="57">
        <f>F112*AF112</f>
        <v>0</v>
      </c>
      <c r="AO112" s="58" t="s">
        <v>422</v>
      </c>
      <c r="AP112" s="58" t="s">
        <v>431</v>
      </c>
      <c r="AQ112" s="46" t="s">
        <v>434</v>
      </c>
      <c r="AS112" s="57">
        <f>AM112+AN112</f>
        <v>0</v>
      </c>
      <c r="AT112" s="57">
        <f>G112/(100-AU112)*100</f>
        <v>0</v>
      </c>
      <c r="AU112" s="57">
        <v>0</v>
      </c>
      <c r="AV112" s="57">
        <f>L112</f>
        <v>0.0076</v>
      </c>
    </row>
    <row r="113" spans="1:37" ht="12.75">
      <c r="A113" s="11"/>
      <c r="B113" s="24"/>
      <c r="C113" s="24" t="s">
        <v>222</v>
      </c>
      <c r="D113" s="24" t="s">
        <v>344</v>
      </c>
      <c r="E113" s="11" t="s">
        <v>6</v>
      </c>
      <c r="F113" s="11" t="s">
        <v>6</v>
      </c>
      <c r="G113" s="11" t="s">
        <v>6</v>
      </c>
      <c r="H113" s="60">
        <f>SUM(H114:H118)</f>
        <v>0</v>
      </c>
      <c r="I113" s="60">
        <f>SUM(I114:I118)</f>
        <v>0</v>
      </c>
      <c r="J113" s="60">
        <f>H113+I113</f>
        <v>0</v>
      </c>
      <c r="K113" s="46"/>
      <c r="L113" s="60">
        <f>SUM(L114:L118)</f>
        <v>2.072406</v>
      </c>
      <c r="M113" s="46"/>
      <c r="Y113" s="46"/>
      <c r="AI113" s="60">
        <f>SUM(Z114:Z118)</f>
        <v>0</v>
      </c>
      <c r="AJ113" s="60">
        <f>SUM(AA114:AA118)</f>
        <v>0</v>
      </c>
      <c r="AK113" s="60">
        <f>SUM(AB114:AB118)</f>
        <v>0</v>
      </c>
    </row>
    <row r="114" spans="1:48" ht="12.75">
      <c r="A114" s="10" t="s">
        <v>100</v>
      </c>
      <c r="B114" s="10"/>
      <c r="C114" s="10" t="s">
        <v>223</v>
      </c>
      <c r="D114" s="10" t="s">
        <v>345</v>
      </c>
      <c r="E114" s="10" t="s">
        <v>374</v>
      </c>
      <c r="F114" s="31">
        <v>17.15</v>
      </c>
      <c r="G114" s="31">
        <v>0</v>
      </c>
      <c r="H114" s="31">
        <f>F114*AE114</f>
        <v>0</v>
      </c>
      <c r="I114" s="31">
        <f>J114-H114</f>
        <v>0</v>
      </c>
      <c r="J114" s="31">
        <f>F114*G114</f>
        <v>0</v>
      </c>
      <c r="K114" s="31">
        <v>0.05284</v>
      </c>
      <c r="L114" s="31">
        <f>F114*K114</f>
        <v>0.9062059999999998</v>
      </c>
      <c r="M114" s="52" t="s">
        <v>405</v>
      </c>
      <c r="P114" s="57">
        <f>IF(AG114="5",J114,0)</f>
        <v>0</v>
      </c>
      <c r="R114" s="57">
        <f>IF(AG114="1",H114,0)</f>
        <v>0</v>
      </c>
      <c r="S114" s="57">
        <f>IF(AG114="1",I114,0)</f>
        <v>0</v>
      </c>
      <c r="T114" s="57">
        <f>IF(AG114="7",H114,0)</f>
        <v>0</v>
      </c>
      <c r="U114" s="57">
        <f>IF(AG114="7",I114,0)</f>
        <v>0</v>
      </c>
      <c r="V114" s="57">
        <f>IF(AG114="2",H114,0)</f>
        <v>0</v>
      </c>
      <c r="W114" s="57">
        <f>IF(AG114="2",I114,0)</f>
        <v>0</v>
      </c>
      <c r="X114" s="57">
        <f>IF(AG114="0",J114,0)</f>
        <v>0</v>
      </c>
      <c r="Y114" s="46"/>
      <c r="Z114" s="31">
        <f>IF(AD114=0,J114,0)</f>
        <v>0</v>
      </c>
      <c r="AA114" s="31">
        <f>IF(AD114=15,J114,0)</f>
        <v>0</v>
      </c>
      <c r="AB114" s="31">
        <f>IF(AD114=21,J114,0)</f>
        <v>0</v>
      </c>
      <c r="AD114" s="57">
        <v>21</v>
      </c>
      <c r="AE114" s="57">
        <f>G114*0.0721745350500715</f>
        <v>0</v>
      </c>
      <c r="AF114" s="57">
        <f>G114*(1-0.0721745350500715)</f>
        <v>0</v>
      </c>
      <c r="AG114" s="52" t="s">
        <v>13</v>
      </c>
      <c r="AM114" s="57">
        <f>F114*AE114</f>
        <v>0</v>
      </c>
      <c r="AN114" s="57">
        <f>F114*AF114</f>
        <v>0</v>
      </c>
      <c r="AO114" s="58" t="s">
        <v>423</v>
      </c>
      <c r="AP114" s="58" t="s">
        <v>432</v>
      </c>
      <c r="AQ114" s="46" t="s">
        <v>434</v>
      </c>
      <c r="AS114" s="57">
        <f>AM114+AN114</f>
        <v>0</v>
      </c>
      <c r="AT114" s="57">
        <f>G114/(100-AU114)*100</f>
        <v>0</v>
      </c>
      <c r="AU114" s="57">
        <v>0</v>
      </c>
      <c r="AV114" s="57">
        <f>L114</f>
        <v>0.9062059999999998</v>
      </c>
    </row>
    <row r="115" spans="1:48" ht="12.75">
      <c r="A115" s="10" t="s">
        <v>101</v>
      </c>
      <c r="B115" s="10"/>
      <c r="C115" s="10" t="s">
        <v>224</v>
      </c>
      <c r="D115" s="10" t="s">
        <v>346</v>
      </c>
      <c r="E115" s="10" t="s">
        <v>374</v>
      </c>
      <c r="F115" s="31">
        <v>17.15</v>
      </c>
      <c r="G115" s="31">
        <v>0</v>
      </c>
      <c r="H115" s="31">
        <f>F115*AE115</f>
        <v>0</v>
      </c>
      <c r="I115" s="31">
        <f>J115-H115</f>
        <v>0</v>
      </c>
      <c r="J115" s="31">
        <f>F115*G115</f>
        <v>0</v>
      </c>
      <c r="K115" s="31">
        <v>0.068</v>
      </c>
      <c r="L115" s="31">
        <f>F115*K115</f>
        <v>1.1662</v>
      </c>
      <c r="M115" s="52" t="s">
        <v>405</v>
      </c>
      <c r="P115" s="57">
        <f>IF(AG115="5",J115,0)</f>
        <v>0</v>
      </c>
      <c r="R115" s="57">
        <f>IF(AG115="1",H115,0)</f>
        <v>0</v>
      </c>
      <c r="S115" s="57">
        <f>IF(AG115="1",I115,0)</f>
        <v>0</v>
      </c>
      <c r="T115" s="57">
        <f>IF(AG115="7",H115,0)</f>
        <v>0</v>
      </c>
      <c r="U115" s="57">
        <f>IF(AG115="7",I115,0)</f>
        <v>0</v>
      </c>
      <c r="V115" s="57">
        <f>IF(AG115="2",H115,0)</f>
        <v>0</v>
      </c>
      <c r="W115" s="57">
        <f>IF(AG115="2",I115,0)</f>
        <v>0</v>
      </c>
      <c r="X115" s="57">
        <f>IF(AG115="0",J115,0)</f>
        <v>0</v>
      </c>
      <c r="Y115" s="46"/>
      <c r="Z115" s="31">
        <f>IF(AD115=0,J115,0)</f>
        <v>0</v>
      </c>
      <c r="AA115" s="31">
        <f>IF(AD115=15,J115,0)</f>
        <v>0</v>
      </c>
      <c r="AB115" s="31">
        <f>IF(AD115=21,J115,0)</f>
        <v>0</v>
      </c>
      <c r="AD115" s="57">
        <v>21</v>
      </c>
      <c r="AE115" s="57">
        <f>G115*0</f>
        <v>0</v>
      </c>
      <c r="AF115" s="57">
        <f>G115*(1-0)</f>
        <v>0</v>
      </c>
      <c r="AG115" s="52" t="s">
        <v>13</v>
      </c>
      <c r="AM115" s="57">
        <f>F115*AE115</f>
        <v>0</v>
      </c>
      <c r="AN115" s="57">
        <f>F115*AF115</f>
        <v>0</v>
      </c>
      <c r="AO115" s="58" t="s">
        <v>423</v>
      </c>
      <c r="AP115" s="58" t="s">
        <v>432</v>
      </c>
      <c r="AQ115" s="46" t="s">
        <v>434</v>
      </c>
      <c r="AS115" s="57">
        <f>AM115+AN115</f>
        <v>0</v>
      </c>
      <c r="AT115" s="57">
        <f>G115/(100-AU115)*100</f>
        <v>0</v>
      </c>
      <c r="AU115" s="57">
        <v>0</v>
      </c>
      <c r="AV115" s="57">
        <f>L115</f>
        <v>1.1662</v>
      </c>
    </row>
    <row r="116" spans="1:48" ht="12.75">
      <c r="A116" s="10" t="s">
        <v>102</v>
      </c>
      <c r="B116" s="10"/>
      <c r="C116" s="10" t="s">
        <v>225</v>
      </c>
      <c r="D116" s="10" t="s">
        <v>347</v>
      </c>
      <c r="E116" s="10" t="s">
        <v>374</v>
      </c>
      <c r="F116" s="31">
        <v>17.15</v>
      </c>
      <c r="G116" s="31">
        <v>0</v>
      </c>
      <c r="H116" s="31">
        <f>F116*AE116</f>
        <v>0</v>
      </c>
      <c r="I116" s="31">
        <f>J116-H116</f>
        <v>0</v>
      </c>
      <c r="J116" s="31">
        <f>F116*G116</f>
        <v>0</v>
      </c>
      <c r="K116" s="31">
        <v>0</v>
      </c>
      <c r="L116" s="31">
        <f>F116*K116</f>
        <v>0</v>
      </c>
      <c r="M116" s="52" t="s">
        <v>405</v>
      </c>
      <c r="P116" s="57">
        <f>IF(AG116="5",J116,0)</f>
        <v>0</v>
      </c>
      <c r="R116" s="57">
        <f>IF(AG116="1",H116,0)</f>
        <v>0</v>
      </c>
      <c r="S116" s="57">
        <f>IF(AG116="1",I116,0)</f>
        <v>0</v>
      </c>
      <c r="T116" s="57">
        <f>IF(AG116="7",H116,0)</f>
        <v>0</v>
      </c>
      <c r="U116" s="57">
        <f>IF(AG116="7",I116,0)</f>
        <v>0</v>
      </c>
      <c r="V116" s="57">
        <f>IF(AG116="2",H116,0)</f>
        <v>0</v>
      </c>
      <c r="W116" s="57">
        <f>IF(AG116="2",I116,0)</f>
        <v>0</v>
      </c>
      <c r="X116" s="57">
        <f>IF(AG116="0",J116,0)</f>
        <v>0</v>
      </c>
      <c r="Y116" s="46"/>
      <c r="Z116" s="31">
        <f>IF(AD116=0,J116,0)</f>
        <v>0</v>
      </c>
      <c r="AA116" s="31">
        <f>IF(AD116=15,J116,0)</f>
        <v>0</v>
      </c>
      <c r="AB116" s="31">
        <f>IF(AD116=21,J116,0)</f>
        <v>0</v>
      </c>
      <c r="AD116" s="57">
        <v>21</v>
      </c>
      <c r="AE116" s="57">
        <f>G116*0</f>
        <v>0</v>
      </c>
      <c r="AF116" s="57">
        <f>G116*(1-0)</f>
        <v>0</v>
      </c>
      <c r="AG116" s="52" t="s">
        <v>13</v>
      </c>
      <c r="AM116" s="57">
        <f>F116*AE116</f>
        <v>0</v>
      </c>
      <c r="AN116" s="57">
        <f>F116*AF116</f>
        <v>0</v>
      </c>
      <c r="AO116" s="58" t="s">
        <v>423</v>
      </c>
      <c r="AP116" s="58" t="s">
        <v>432</v>
      </c>
      <c r="AQ116" s="46" t="s">
        <v>434</v>
      </c>
      <c r="AS116" s="57">
        <f>AM116+AN116</f>
        <v>0</v>
      </c>
      <c r="AT116" s="57">
        <f>G116/(100-AU116)*100</f>
        <v>0</v>
      </c>
      <c r="AU116" s="57">
        <v>0</v>
      </c>
      <c r="AV116" s="57">
        <f>L116</f>
        <v>0</v>
      </c>
    </row>
    <row r="117" spans="1:48" ht="12.75">
      <c r="A117" s="10" t="s">
        <v>103</v>
      </c>
      <c r="B117" s="10"/>
      <c r="C117" s="10" t="s">
        <v>226</v>
      </c>
      <c r="D117" s="10" t="s">
        <v>348</v>
      </c>
      <c r="E117" s="10" t="s">
        <v>374</v>
      </c>
      <c r="F117" s="31">
        <v>17.15</v>
      </c>
      <c r="G117" s="31">
        <v>0</v>
      </c>
      <c r="H117" s="31">
        <f>F117*AE117</f>
        <v>0</v>
      </c>
      <c r="I117" s="31">
        <f>J117-H117</f>
        <v>0</v>
      </c>
      <c r="J117" s="31">
        <f>F117*G117</f>
        <v>0</v>
      </c>
      <c r="K117" s="31">
        <v>0</v>
      </c>
      <c r="L117" s="31">
        <f>F117*K117</f>
        <v>0</v>
      </c>
      <c r="M117" s="52" t="s">
        <v>405</v>
      </c>
      <c r="P117" s="57">
        <f>IF(AG117="5",J117,0)</f>
        <v>0</v>
      </c>
      <c r="R117" s="57">
        <f>IF(AG117="1",H117,0)</f>
        <v>0</v>
      </c>
      <c r="S117" s="57">
        <f>IF(AG117="1",I117,0)</f>
        <v>0</v>
      </c>
      <c r="T117" s="57">
        <f>IF(AG117="7",H117,0)</f>
        <v>0</v>
      </c>
      <c r="U117" s="57">
        <f>IF(AG117="7",I117,0)</f>
        <v>0</v>
      </c>
      <c r="V117" s="57">
        <f>IF(AG117="2",H117,0)</f>
        <v>0</v>
      </c>
      <c r="W117" s="57">
        <f>IF(AG117="2",I117,0)</f>
        <v>0</v>
      </c>
      <c r="X117" s="57">
        <f>IF(AG117="0",J117,0)</f>
        <v>0</v>
      </c>
      <c r="Y117" s="46"/>
      <c r="Z117" s="31">
        <f>IF(AD117=0,J117,0)</f>
        <v>0</v>
      </c>
      <c r="AA117" s="31">
        <f>IF(AD117=15,J117,0)</f>
        <v>0</v>
      </c>
      <c r="AB117" s="31">
        <f>IF(AD117=21,J117,0)</f>
        <v>0</v>
      </c>
      <c r="AD117" s="57">
        <v>21</v>
      </c>
      <c r="AE117" s="57">
        <f>G117*0</f>
        <v>0</v>
      </c>
      <c r="AF117" s="57">
        <f>G117*(1-0)</f>
        <v>0</v>
      </c>
      <c r="AG117" s="52" t="s">
        <v>13</v>
      </c>
      <c r="AM117" s="57">
        <f>F117*AE117</f>
        <v>0</v>
      </c>
      <c r="AN117" s="57">
        <f>F117*AF117</f>
        <v>0</v>
      </c>
      <c r="AO117" s="58" t="s">
        <v>423</v>
      </c>
      <c r="AP117" s="58" t="s">
        <v>432</v>
      </c>
      <c r="AQ117" s="46" t="s">
        <v>434</v>
      </c>
      <c r="AS117" s="57">
        <f>AM117+AN117</f>
        <v>0</v>
      </c>
      <c r="AT117" s="57">
        <f>G117/(100-AU117)*100</f>
        <v>0</v>
      </c>
      <c r="AU117" s="57">
        <v>0</v>
      </c>
      <c r="AV117" s="57">
        <f>L117</f>
        <v>0</v>
      </c>
    </row>
    <row r="118" spans="1:48" ht="12.75">
      <c r="A118" s="10" t="s">
        <v>104</v>
      </c>
      <c r="B118" s="10"/>
      <c r="C118" s="10" t="s">
        <v>227</v>
      </c>
      <c r="D118" s="10" t="s">
        <v>349</v>
      </c>
      <c r="E118" s="10" t="s">
        <v>375</v>
      </c>
      <c r="F118" s="31">
        <v>35</v>
      </c>
      <c r="G118" s="31">
        <v>0</v>
      </c>
      <c r="H118" s="31">
        <f>F118*AE118</f>
        <v>0</v>
      </c>
      <c r="I118" s="31">
        <f>J118-H118</f>
        <v>0</v>
      </c>
      <c r="J118" s="31">
        <f>F118*G118</f>
        <v>0</v>
      </c>
      <c r="K118" s="31">
        <v>0</v>
      </c>
      <c r="L118" s="31">
        <f>F118*K118</f>
        <v>0</v>
      </c>
      <c r="M118" s="52" t="s">
        <v>405</v>
      </c>
      <c r="P118" s="57">
        <f>IF(AG118="5",J118,0)</f>
        <v>0</v>
      </c>
      <c r="R118" s="57">
        <f>IF(AG118="1",H118,0)</f>
        <v>0</v>
      </c>
      <c r="S118" s="57">
        <f>IF(AG118="1",I118,0)</f>
        <v>0</v>
      </c>
      <c r="T118" s="57">
        <f>IF(AG118="7",H118,0)</f>
        <v>0</v>
      </c>
      <c r="U118" s="57">
        <f>IF(AG118="7",I118,0)</f>
        <v>0</v>
      </c>
      <c r="V118" s="57">
        <f>IF(AG118="2",H118,0)</f>
        <v>0</v>
      </c>
      <c r="W118" s="57">
        <f>IF(AG118="2",I118,0)</f>
        <v>0</v>
      </c>
      <c r="X118" s="57">
        <f>IF(AG118="0",J118,0)</f>
        <v>0</v>
      </c>
      <c r="Y118" s="46"/>
      <c r="Z118" s="31">
        <f>IF(AD118=0,J118,0)</f>
        <v>0</v>
      </c>
      <c r="AA118" s="31">
        <f>IF(AD118=15,J118,0)</f>
        <v>0</v>
      </c>
      <c r="AB118" s="31">
        <f>IF(AD118=21,J118,0)</f>
        <v>0</v>
      </c>
      <c r="AD118" s="57">
        <v>21</v>
      </c>
      <c r="AE118" s="57">
        <f>G118*0.0235376369144722</f>
        <v>0</v>
      </c>
      <c r="AF118" s="57">
        <f>G118*(1-0.0235376369144722)</f>
        <v>0</v>
      </c>
      <c r="AG118" s="52" t="s">
        <v>13</v>
      </c>
      <c r="AM118" s="57">
        <f>F118*AE118</f>
        <v>0</v>
      </c>
      <c r="AN118" s="57">
        <f>F118*AF118</f>
        <v>0</v>
      </c>
      <c r="AO118" s="58" t="s">
        <v>423</v>
      </c>
      <c r="AP118" s="58" t="s">
        <v>432</v>
      </c>
      <c r="AQ118" s="46" t="s">
        <v>434</v>
      </c>
      <c r="AS118" s="57">
        <f>AM118+AN118</f>
        <v>0</v>
      </c>
      <c r="AT118" s="57">
        <f>G118/(100-AU118)*100</f>
        <v>0</v>
      </c>
      <c r="AU118" s="57">
        <v>0</v>
      </c>
      <c r="AV118" s="57">
        <f>L118</f>
        <v>0</v>
      </c>
    </row>
    <row r="119" spans="1:37" ht="12.75">
      <c r="A119" s="11"/>
      <c r="B119" s="24"/>
      <c r="C119" s="24" t="s">
        <v>96</v>
      </c>
      <c r="D119" s="24" t="s">
        <v>350</v>
      </c>
      <c r="E119" s="11" t="s">
        <v>6</v>
      </c>
      <c r="F119" s="11" t="s">
        <v>6</v>
      </c>
      <c r="G119" s="11" t="s">
        <v>6</v>
      </c>
      <c r="H119" s="60">
        <f>SUM(H120:H120)</f>
        <v>0</v>
      </c>
      <c r="I119" s="60">
        <f>SUM(I120:I120)</f>
        <v>0</v>
      </c>
      <c r="J119" s="60">
        <f>H119+I119</f>
        <v>0</v>
      </c>
      <c r="K119" s="46"/>
      <c r="L119" s="60">
        <f>SUM(L120:L120)</f>
        <v>0</v>
      </c>
      <c r="M119" s="46"/>
      <c r="Y119" s="46"/>
      <c r="AI119" s="60">
        <f>SUM(Z120:Z120)</f>
        <v>0</v>
      </c>
      <c r="AJ119" s="60">
        <f>SUM(AA120:AA120)</f>
        <v>0</v>
      </c>
      <c r="AK119" s="60">
        <f>SUM(AB120:AB120)</f>
        <v>0</v>
      </c>
    </row>
    <row r="120" spans="1:48" ht="12.75">
      <c r="A120" s="10" t="s">
        <v>105</v>
      </c>
      <c r="B120" s="10"/>
      <c r="C120" s="10" t="s">
        <v>228</v>
      </c>
      <c r="D120" s="10" t="s">
        <v>351</v>
      </c>
      <c r="E120" s="10" t="s">
        <v>379</v>
      </c>
      <c r="F120" s="31">
        <v>200</v>
      </c>
      <c r="G120" s="31">
        <v>0</v>
      </c>
      <c r="H120" s="31">
        <f>F120*AE120</f>
        <v>0</v>
      </c>
      <c r="I120" s="31">
        <f>J120-H120</f>
        <v>0</v>
      </c>
      <c r="J120" s="31">
        <f>F120*G120</f>
        <v>0</v>
      </c>
      <c r="K120" s="31">
        <v>0</v>
      </c>
      <c r="L120" s="31">
        <f>F120*K120</f>
        <v>0</v>
      </c>
      <c r="M120" s="52" t="s">
        <v>404</v>
      </c>
      <c r="P120" s="57">
        <f>IF(AG120="5",J120,0)</f>
        <v>0</v>
      </c>
      <c r="R120" s="57">
        <f>IF(AG120="1",H120,0)</f>
        <v>0</v>
      </c>
      <c r="S120" s="57">
        <f>IF(AG120="1",I120,0)</f>
        <v>0</v>
      </c>
      <c r="T120" s="57">
        <f>IF(AG120="7",H120,0)</f>
        <v>0</v>
      </c>
      <c r="U120" s="57">
        <f>IF(AG120="7",I120,0)</f>
        <v>0</v>
      </c>
      <c r="V120" s="57">
        <f>IF(AG120="2",H120,0)</f>
        <v>0</v>
      </c>
      <c r="W120" s="57">
        <f>IF(AG120="2",I120,0)</f>
        <v>0</v>
      </c>
      <c r="X120" s="57">
        <f>IF(AG120="0",J120,0)</f>
        <v>0</v>
      </c>
      <c r="Y120" s="46"/>
      <c r="Z120" s="31">
        <f>IF(AD120=0,J120,0)</f>
        <v>0</v>
      </c>
      <c r="AA120" s="31">
        <f>IF(AD120=15,J120,0)</f>
        <v>0</v>
      </c>
      <c r="AB120" s="31">
        <f>IF(AD120=21,J120,0)</f>
        <v>0</v>
      </c>
      <c r="AD120" s="57">
        <v>21</v>
      </c>
      <c r="AE120" s="57">
        <f>G120*0</f>
        <v>0</v>
      </c>
      <c r="AF120" s="57">
        <f>G120*(1-0)</f>
        <v>0</v>
      </c>
      <c r="AG120" s="52" t="s">
        <v>7</v>
      </c>
      <c r="AM120" s="57">
        <f>F120*AE120</f>
        <v>0</v>
      </c>
      <c r="AN120" s="57">
        <f>F120*AF120</f>
        <v>0</v>
      </c>
      <c r="AO120" s="58" t="s">
        <v>424</v>
      </c>
      <c r="AP120" s="58" t="s">
        <v>433</v>
      </c>
      <c r="AQ120" s="46" t="s">
        <v>434</v>
      </c>
      <c r="AS120" s="57">
        <f>AM120+AN120</f>
        <v>0</v>
      </c>
      <c r="AT120" s="57">
        <f>G120/(100-AU120)*100</f>
        <v>0</v>
      </c>
      <c r="AU120" s="57">
        <v>0</v>
      </c>
      <c r="AV120" s="57">
        <f>L120</f>
        <v>0</v>
      </c>
    </row>
    <row r="121" spans="1:37" ht="12.75">
      <c r="A121" s="11"/>
      <c r="B121" s="24"/>
      <c r="C121" s="24" t="s">
        <v>103</v>
      </c>
      <c r="D121" s="24" t="s">
        <v>352</v>
      </c>
      <c r="E121" s="11" t="s">
        <v>6</v>
      </c>
      <c r="F121" s="11" t="s">
        <v>6</v>
      </c>
      <c r="G121" s="11" t="s">
        <v>6</v>
      </c>
      <c r="H121" s="60">
        <f>SUM(H122:H131)</f>
        <v>0</v>
      </c>
      <c r="I121" s="60">
        <f>SUM(I122:I131)</f>
        <v>0</v>
      </c>
      <c r="J121" s="60">
        <f>H121+I121</f>
        <v>0</v>
      </c>
      <c r="K121" s="46"/>
      <c r="L121" s="60">
        <f>SUM(L122:L131)</f>
        <v>22.16798</v>
      </c>
      <c r="M121" s="46"/>
      <c r="Y121" s="46"/>
      <c r="AI121" s="60">
        <f>SUM(Z122:Z131)</f>
        <v>0</v>
      </c>
      <c r="AJ121" s="60">
        <f>SUM(AA122:AA131)</f>
        <v>0</v>
      </c>
      <c r="AK121" s="60">
        <f>SUM(AB122:AB131)</f>
        <v>0</v>
      </c>
    </row>
    <row r="122" spans="1:48" ht="12.75">
      <c r="A122" s="10" t="s">
        <v>106</v>
      </c>
      <c r="B122" s="10"/>
      <c r="C122" s="10" t="s">
        <v>229</v>
      </c>
      <c r="D122" s="10" t="s">
        <v>353</v>
      </c>
      <c r="E122" s="10" t="s">
        <v>376</v>
      </c>
      <c r="F122" s="31">
        <v>24</v>
      </c>
      <c r="G122" s="31">
        <v>0</v>
      </c>
      <c r="H122" s="31">
        <f>F122*AE122</f>
        <v>0</v>
      </c>
      <c r="I122" s="31">
        <f>J122-H122</f>
        <v>0</v>
      </c>
      <c r="J122" s="31">
        <f>F122*G122</f>
        <v>0</v>
      </c>
      <c r="K122" s="31">
        <v>0.08149</v>
      </c>
      <c r="L122" s="31">
        <f>F122*K122</f>
        <v>1.9557600000000002</v>
      </c>
      <c r="M122" s="52" t="s">
        <v>405</v>
      </c>
      <c r="P122" s="57">
        <f>IF(AG122="5",J122,0)</f>
        <v>0</v>
      </c>
      <c r="R122" s="57">
        <f>IF(AG122="1",H122,0)</f>
        <v>0</v>
      </c>
      <c r="S122" s="57">
        <f>IF(AG122="1",I122,0)</f>
        <v>0</v>
      </c>
      <c r="T122" s="57">
        <f>IF(AG122="7",H122,0)</f>
        <v>0</v>
      </c>
      <c r="U122" s="57">
        <f>IF(AG122="7",I122,0)</f>
        <v>0</v>
      </c>
      <c r="V122" s="57">
        <f>IF(AG122="2",H122,0)</f>
        <v>0</v>
      </c>
      <c r="W122" s="57">
        <f>IF(AG122="2",I122,0)</f>
        <v>0</v>
      </c>
      <c r="X122" s="57">
        <f>IF(AG122="0",J122,0)</f>
        <v>0</v>
      </c>
      <c r="Y122" s="46"/>
      <c r="Z122" s="31">
        <f>IF(AD122=0,J122,0)</f>
        <v>0</v>
      </c>
      <c r="AA122" s="31">
        <f>IF(AD122=15,J122,0)</f>
        <v>0</v>
      </c>
      <c r="AB122" s="31">
        <f>IF(AD122=21,J122,0)</f>
        <v>0</v>
      </c>
      <c r="AD122" s="57">
        <v>21</v>
      </c>
      <c r="AE122" s="57">
        <f>G122*0.0494693670457909</f>
        <v>0</v>
      </c>
      <c r="AF122" s="57">
        <f>G122*(1-0.0494693670457909)</f>
        <v>0</v>
      </c>
      <c r="AG122" s="52" t="s">
        <v>7</v>
      </c>
      <c r="AM122" s="57">
        <f>F122*AE122</f>
        <v>0</v>
      </c>
      <c r="AN122" s="57">
        <f>F122*AF122</f>
        <v>0</v>
      </c>
      <c r="AO122" s="58" t="s">
        <v>425</v>
      </c>
      <c r="AP122" s="58" t="s">
        <v>433</v>
      </c>
      <c r="AQ122" s="46" t="s">
        <v>434</v>
      </c>
      <c r="AS122" s="57">
        <f>AM122+AN122</f>
        <v>0</v>
      </c>
      <c r="AT122" s="57">
        <f>G122/(100-AU122)*100</f>
        <v>0</v>
      </c>
      <c r="AU122" s="57">
        <v>0</v>
      </c>
      <c r="AV122" s="57">
        <f>L122</f>
        <v>1.9557600000000002</v>
      </c>
    </row>
    <row r="123" spans="1:48" ht="12.75">
      <c r="A123" s="10" t="s">
        <v>107</v>
      </c>
      <c r="B123" s="10"/>
      <c r="C123" s="10" t="s">
        <v>230</v>
      </c>
      <c r="D123" s="10" t="s">
        <v>354</v>
      </c>
      <c r="E123" s="10" t="s">
        <v>375</v>
      </c>
      <c r="F123" s="31">
        <v>2</v>
      </c>
      <c r="G123" s="31">
        <v>0</v>
      </c>
      <c r="H123" s="31">
        <f>F123*AE123</f>
        <v>0</v>
      </c>
      <c r="I123" s="31">
        <f>J123-H123</f>
        <v>0</v>
      </c>
      <c r="J123" s="31">
        <f>F123*G123</f>
        <v>0</v>
      </c>
      <c r="K123" s="31">
        <v>0</v>
      </c>
      <c r="L123" s="31">
        <f>F123*K123</f>
        <v>0</v>
      </c>
      <c r="M123" s="52" t="s">
        <v>405</v>
      </c>
      <c r="P123" s="57">
        <f>IF(AG123="5",J123,0)</f>
        <v>0</v>
      </c>
      <c r="R123" s="57">
        <f>IF(AG123="1",H123,0)</f>
        <v>0</v>
      </c>
      <c r="S123" s="57">
        <f>IF(AG123="1",I123,0)</f>
        <v>0</v>
      </c>
      <c r="T123" s="57">
        <f>IF(AG123="7",H123,0)</f>
        <v>0</v>
      </c>
      <c r="U123" s="57">
        <f>IF(AG123="7",I123,0)</f>
        <v>0</v>
      </c>
      <c r="V123" s="57">
        <f>IF(AG123="2",H123,0)</f>
        <v>0</v>
      </c>
      <c r="W123" s="57">
        <f>IF(AG123="2",I123,0)</f>
        <v>0</v>
      </c>
      <c r="X123" s="57">
        <f>IF(AG123="0",J123,0)</f>
        <v>0</v>
      </c>
      <c r="Y123" s="46"/>
      <c r="Z123" s="31">
        <f>IF(AD123=0,J123,0)</f>
        <v>0</v>
      </c>
      <c r="AA123" s="31">
        <f>IF(AD123=15,J123,0)</f>
        <v>0</v>
      </c>
      <c r="AB123" s="31">
        <f>IF(AD123=21,J123,0)</f>
        <v>0</v>
      </c>
      <c r="AD123" s="57">
        <v>21</v>
      </c>
      <c r="AE123" s="57">
        <f>G123*0</f>
        <v>0</v>
      </c>
      <c r="AF123" s="57">
        <f>G123*(1-0)</f>
        <v>0</v>
      </c>
      <c r="AG123" s="52" t="s">
        <v>7</v>
      </c>
      <c r="AM123" s="57">
        <f>F123*AE123</f>
        <v>0</v>
      </c>
      <c r="AN123" s="57">
        <f>F123*AF123</f>
        <v>0</v>
      </c>
      <c r="AO123" s="58" t="s">
        <v>425</v>
      </c>
      <c r="AP123" s="58" t="s">
        <v>433</v>
      </c>
      <c r="AQ123" s="46" t="s">
        <v>434</v>
      </c>
      <c r="AS123" s="57">
        <f>AM123+AN123</f>
        <v>0</v>
      </c>
      <c r="AT123" s="57">
        <f>G123/(100-AU123)*100</f>
        <v>0</v>
      </c>
      <c r="AU123" s="57">
        <v>0</v>
      </c>
      <c r="AV123" s="57">
        <f>L123</f>
        <v>0</v>
      </c>
    </row>
    <row r="124" spans="1:48" ht="12.75">
      <c r="A124" s="10" t="s">
        <v>108</v>
      </c>
      <c r="B124" s="10"/>
      <c r="C124" s="10" t="s">
        <v>231</v>
      </c>
      <c r="D124" s="10" t="s">
        <v>355</v>
      </c>
      <c r="E124" s="10" t="s">
        <v>380</v>
      </c>
      <c r="F124" s="31">
        <v>240</v>
      </c>
      <c r="G124" s="31">
        <v>0</v>
      </c>
      <c r="H124" s="31">
        <f>F124*AE124</f>
        <v>0</v>
      </c>
      <c r="I124" s="31">
        <f>J124-H124</f>
        <v>0</v>
      </c>
      <c r="J124" s="31">
        <f>F124*G124</f>
        <v>0</v>
      </c>
      <c r="K124" s="31">
        <v>0</v>
      </c>
      <c r="L124" s="31">
        <f>F124*K124</f>
        <v>0</v>
      </c>
      <c r="M124" s="52" t="s">
        <v>405</v>
      </c>
      <c r="P124" s="57">
        <f>IF(AG124="5",J124,0)</f>
        <v>0</v>
      </c>
      <c r="R124" s="57">
        <f>IF(AG124="1",H124,0)</f>
        <v>0</v>
      </c>
      <c r="S124" s="57">
        <f>IF(AG124="1",I124,0)</f>
        <v>0</v>
      </c>
      <c r="T124" s="57">
        <f>IF(AG124="7",H124,0)</f>
        <v>0</v>
      </c>
      <c r="U124" s="57">
        <f>IF(AG124="7",I124,0)</f>
        <v>0</v>
      </c>
      <c r="V124" s="57">
        <f>IF(AG124="2",H124,0)</f>
        <v>0</v>
      </c>
      <c r="W124" s="57">
        <f>IF(AG124="2",I124,0)</f>
        <v>0</v>
      </c>
      <c r="X124" s="57">
        <f>IF(AG124="0",J124,0)</f>
        <v>0</v>
      </c>
      <c r="Y124" s="46"/>
      <c r="Z124" s="31">
        <f>IF(AD124=0,J124,0)</f>
        <v>0</v>
      </c>
      <c r="AA124" s="31">
        <f>IF(AD124=15,J124,0)</f>
        <v>0</v>
      </c>
      <c r="AB124" s="31">
        <f>IF(AD124=21,J124,0)</f>
        <v>0</v>
      </c>
      <c r="AD124" s="57">
        <v>21</v>
      </c>
      <c r="AE124" s="57">
        <f>G124*0</f>
        <v>0</v>
      </c>
      <c r="AF124" s="57">
        <f>G124*(1-0)</f>
        <v>0</v>
      </c>
      <c r="AG124" s="52" t="s">
        <v>7</v>
      </c>
      <c r="AM124" s="57">
        <f>F124*AE124</f>
        <v>0</v>
      </c>
      <c r="AN124" s="57">
        <f>F124*AF124</f>
        <v>0</v>
      </c>
      <c r="AO124" s="58" t="s">
        <v>425</v>
      </c>
      <c r="AP124" s="58" t="s">
        <v>433</v>
      </c>
      <c r="AQ124" s="46" t="s">
        <v>434</v>
      </c>
      <c r="AS124" s="57">
        <f>AM124+AN124</f>
        <v>0</v>
      </c>
      <c r="AT124" s="57">
        <f>G124/(100-AU124)*100</f>
        <v>0</v>
      </c>
      <c r="AU124" s="57">
        <v>0</v>
      </c>
      <c r="AV124" s="57">
        <f>L124</f>
        <v>0</v>
      </c>
    </row>
    <row r="125" spans="1:48" ht="12.75">
      <c r="A125" s="10" t="s">
        <v>109</v>
      </c>
      <c r="B125" s="10"/>
      <c r="C125" s="10" t="s">
        <v>232</v>
      </c>
      <c r="D125" s="10" t="s">
        <v>356</v>
      </c>
      <c r="E125" s="10" t="s">
        <v>380</v>
      </c>
      <c r="F125" s="31">
        <v>60</v>
      </c>
      <c r="G125" s="31">
        <v>0</v>
      </c>
      <c r="H125" s="31">
        <f>F125*AE125</f>
        <v>0</v>
      </c>
      <c r="I125" s="31">
        <f>J125-H125</f>
        <v>0</v>
      </c>
      <c r="J125" s="31">
        <f>F125*G125</f>
        <v>0</v>
      </c>
      <c r="K125" s="31">
        <v>0</v>
      </c>
      <c r="L125" s="31">
        <f>F125*K125</f>
        <v>0</v>
      </c>
      <c r="M125" s="52" t="s">
        <v>405</v>
      </c>
      <c r="P125" s="57">
        <f>IF(AG125="5",J125,0)</f>
        <v>0</v>
      </c>
      <c r="R125" s="57">
        <f>IF(AG125="1",H125,0)</f>
        <v>0</v>
      </c>
      <c r="S125" s="57">
        <f>IF(AG125="1",I125,0)</f>
        <v>0</v>
      </c>
      <c r="T125" s="57">
        <f>IF(AG125="7",H125,0)</f>
        <v>0</v>
      </c>
      <c r="U125" s="57">
        <f>IF(AG125="7",I125,0)</f>
        <v>0</v>
      </c>
      <c r="V125" s="57">
        <f>IF(AG125="2",H125,0)</f>
        <v>0</v>
      </c>
      <c r="W125" s="57">
        <f>IF(AG125="2",I125,0)</f>
        <v>0</v>
      </c>
      <c r="X125" s="57">
        <f>IF(AG125="0",J125,0)</f>
        <v>0</v>
      </c>
      <c r="Y125" s="46"/>
      <c r="Z125" s="31">
        <f>IF(AD125=0,J125,0)</f>
        <v>0</v>
      </c>
      <c r="AA125" s="31">
        <f>IF(AD125=15,J125,0)</f>
        <v>0</v>
      </c>
      <c r="AB125" s="31">
        <f>IF(AD125=21,J125,0)</f>
        <v>0</v>
      </c>
      <c r="AD125" s="57">
        <v>21</v>
      </c>
      <c r="AE125" s="57">
        <f>G125*0</f>
        <v>0</v>
      </c>
      <c r="AF125" s="57">
        <f>G125*(1-0)</f>
        <v>0</v>
      </c>
      <c r="AG125" s="52" t="s">
        <v>7</v>
      </c>
      <c r="AM125" s="57">
        <f>F125*AE125</f>
        <v>0</v>
      </c>
      <c r="AN125" s="57">
        <f>F125*AF125</f>
        <v>0</v>
      </c>
      <c r="AO125" s="58" t="s">
        <v>425</v>
      </c>
      <c r="AP125" s="58" t="s">
        <v>433</v>
      </c>
      <c r="AQ125" s="46" t="s">
        <v>434</v>
      </c>
      <c r="AS125" s="57">
        <f>AM125+AN125</f>
        <v>0</v>
      </c>
      <c r="AT125" s="57">
        <f>G125/(100-AU125)*100</f>
        <v>0</v>
      </c>
      <c r="AU125" s="57">
        <v>0</v>
      </c>
      <c r="AV125" s="57">
        <f>L125</f>
        <v>0</v>
      </c>
    </row>
    <row r="126" spans="1:48" ht="12.75">
      <c r="A126" s="10" t="s">
        <v>110</v>
      </c>
      <c r="B126" s="10"/>
      <c r="C126" s="10" t="s">
        <v>233</v>
      </c>
      <c r="D126" s="10" t="s">
        <v>357</v>
      </c>
      <c r="E126" s="10" t="s">
        <v>380</v>
      </c>
      <c r="F126" s="31">
        <v>120</v>
      </c>
      <c r="G126" s="31">
        <v>0</v>
      </c>
      <c r="H126" s="31">
        <f>F126*AE126</f>
        <v>0</v>
      </c>
      <c r="I126" s="31">
        <f>J126-H126</f>
        <v>0</v>
      </c>
      <c r="J126" s="31">
        <f>F126*G126</f>
        <v>0</v>
      </c>
      <c r="K126" s="31">
        <v>0</v>
      </c>
      <c r="L126" s="31">
        <f>F126*K126</f>
        <v>0</v>
      </c>
      <c r="M126" s="52" t="s">
        <v>405</v>
      </c>
      <c r="P126" s="57">
        <f>IF(AG126="5",J126,0)</f>
        <v>0</v>
      </c>
      <c r="R126" s="57">
        <f>IF(AG126="1",H126,0)</f>
        <v>0</v>
      </c>
      <c r="S126" s="57">
        <f>IF(AG126="1",I126,0)</f>
        <v>0</v>
      </c>
      <c r="T126" s="57">
        <f>IF(AG126="7",H126,0)</f>
        <v>0</v>
      </c>
      <c r="U126" s="57">
        <f>IF(AG126="7",I126,0)</f>
        <v>0</v>
      </c>
      <c r="V126" s="57">
        <f>IF(AG126="2",H126,0)</f>
        <v>0</v>
      </c>
      <c r="W126" s="57">
        <f>IF(AG126="2",I126,0)</f>
        <v>0</v>
      </c>
      <c r="X126" s="57">
        <f>IF(AG126="0",J126,0)</f>
        <v>0</v>
      </c>
      <c r="Y126" s="46"/>
      <c r="Z126" s="31">
        <f>IF(AD126=0,J126,0)</f>
        <v>0</v>
      </c>
      <c r="AA126" s="31">
        <f>IF(AD126=15,J126,0)</f>
        <v>0</v>
      </c>
      <c r="AB126" s="31">
        <f>IF(AD126=21,J126,0)</f>
        <v>0</v>
      </c>
      <c r="AD126" s="57">
        <v>21</v>
      </c>
      <c r="AE126" s="57">
        <f>G126*0</f>
        <v>0</v>
      </c>
      <c r="AF126" s="57">
        <f>G126*(1-0)</f>
        <v>0</v>
      </c>
      <c r="AG126" s="52" t="s">
        <v>7</v>
      </c>
      <c r="AM126" s="57">
        <f>F126*AE126</f>
        <v>0</v>
      </c>
      <c r="AN126" s="57">
        <f>F126*AF126</f>
        <v>0</v>
      </c>
      <c r="AO126" s="58" t="s">
        <v>425</v>
      </c>
      <c r="AP126" s="58" t="s">
        <v>433</v>
      </c>
      <c r="AQ126" s="46" t="s">
        <v>434</v>
      </c>
      <c r="AS126" s="57">
        <f>AM126+AN126</f>
        <v>0</v>
      </c>
      <c r="AT126" s="57">
        <f>G126/(100-AU126)*100</f>
        <v>0</v>
      </c>
      <c r="AU126" s="57">
        <v>0</v>
      </c>
      <c r="AV126" s="57">
        <f>L126</f>
        <v>0</v>
      </c>
    </row>
    <row r="127" spans="1:48" ht="12.75">
      <c r="A127" s="10" t="s">
        <v>111</v>
      </c>
      <c r="B127" s="10"/>
      <c r="C127" s="10" t="s">
        <v>234</v>
      </c>
      <c r="D127" s="10" t="s">
        <v>358</v>
      </c>
      <c r="E127" s="10" t="s">
        <v>381</v>
      </c>
      <c r="F127" s="31">
        <v>9.09602</v>
      </c>
      <c r="G127" s="31">
        <v>0</v>
      </c>
      <c r="H127" s="31">
        <f>F127*AE127</f>
        <v>0</v>
      </c>
      <c r="I127" s="31">
        <f>J127-H127</f>
        <v>0</v>
      </c>
      <c r="J127" s="31">
        <f>F127*G127</f>
        <v>0</v>
      </c>
      <c r="K127" s="31">
        <v>0</v>
      </c>
      <c r="L127" s="31">
        <f>F127*K127</f>
        <v>0</v>
      </c>
      <c r="M127" s="52" t="s">
        <v>405</v>
      </c>
      <c r="P127" s="57">
        <f>IF(AG127="5",J127,0)</f>
        <v>0</v>
      </c>
      <c r="R127" s="57">
        <f>IF(AG127="1",H127,0)</f>
        <v>0</v>
      </c>
      <c r="S127" s="57">
        <f>IF(AG127="1",I127,0)</f>
        <v>0</v>
      </c>
      <c r="T127" s="57">
        <f>IF(AG127="7",H127,0)</f>
        <v>0</v>
      </c>
      <c r="U127" s="57">
        <f>IF(AG127="7",I127,0)</f>
        <v>0</v>
      </c>
      <c r="V127" s="57">
        <f>IF(AG127="2",H127,0)</f>
        <v>0</v>
      </c>
      <c r="W127" s="57">
        <f>IF(AG127="2",I127,0)</f>
        <v>0</v>
      </c>
      <c r="X127" s="57">
        <f>IF(AG127="0",J127,0)</f>
        <v>0</v>
      </c>
      <c r="Y127" s="46"/>
      <c r="Z127" s="31">
        <f>IF(AD127=0,J127,0)</f>
        <v>0</v>
      </c>
      <c r="AA127" s="31">
        <f>IF(AD127=15,J127,0)</f>
        <v>0</v>
      </c>
      <c r="AB127" s="31">
        <f>IF(AD127=21,J127,0)</f>
        <v>0</v>
      </c>
      <c r="AD127" s="57">
        <v>21</v>
      </c>
      <c r="AE127" s="57">
        <f>G127*0</f>
        <v>0</v>
      </c>
      <c r="AF127" s="57">
        <f>G127*(1-0)</f>
        <v>0</v>
      </c>
      <c r="AG127" s="52" t="s">
        <v>7</v>
      </c>
      <c r="AM127" s="57">
        <f>F127*AE127</f>
        <v>0</v>
      </c>
      <c r="AN127" s="57">
        <f>F127*AF127</f>
        <v>0</v>
      </c>
      <c r="AO127" s="58" t="s">
        <v>425</v>
      </c>
      <c r="AP127" s="58" t="s">
        <v>433</v>
      </c>
      <c r="AQ127" s="46" t="s">
        <v>434</v>
      </c>
      <c r="AS127" s="57">
        <f>AM127+AN127</f>
        <v>0</v>
      </c>
      <c r="AT127" s="57">
        <f>G127/(100-AU127)*100</f>
        <v>0</v>
      </c>
      <c r="AU127" s="57">
        <v>0</v>
      </c>
      <c r="AV127" s="57">
        <f>L127</f>
        <v>0</v>
      </c>
    </row>
    <row r="128" spans="1:48" ht="12.75">
      <c r="A128" s="10" t="s">
        <v>112</v>
      </c>
      <c r="B128" s="10"/>
      <c r="C128" s="10" t="s">
        <v>235</v>
      </c>
      <c r="D128" s="10" t="s">
        <v>359</v>
      </c>
      <c r="E128" s="10" t="s">
        <v>381</v>
      </c>
      <c r="F128" s="31">
        <v>9.09602</v>
      </c>
      <c r="G128" s="31">
        <v>0</v>
      </c>
      <c r="H128" s="31">
        <f>F128*AE128</f>
        <v>0</v>
      </c>
      <c r="I128" s="31">
        <f>J128-H128</f>
        <v>0</v>
      </c>
      <c r="J128" s="31">
        <f>F128*G128</f>
        <v>0</v>
      </c>
      <c r="K128" s="31">
        <v>0</v>
      </c>
      <c r="L128" s="31">
        <f>F128*K128</f>
        <v>0</v>
      </c>
      <c r="M128" s="52" t="s">
        <v>405</v>
      </c>
      <c r="P128" s="57">
        <f>IF(AG128="5",J128,0)</f>
        <v>0</v>
      </c>
      <c r="R128" s="57">
        <f>IF(AG128="1",H128,0)</f>
        <v>0</v>
      </c>
      <c r="S128" s="57">
        <f>IF(AG128="1",I128,0)</f>
        <v>0</v>
      </c>
      <c r="T128" s="57">
        <f>IF(AG128="7",H128,0)</f>
        <v>0</v>
      </c>
      <c r="U128" s="57">
        <f>IF(AG128="7",I128,0)</f>
        <v>0</v>
      </c>
      <c r="V128" s="57">
        <f>IF(AG128="2",H128,0)</f>
        <v>0</v>
      </c>
      <c r="W128" s="57">
        <f>IF(AG128="2",I128,0)</f>
        <v>0</v>
      </c>
      <c r="X128" s="57">
        <f>IF(AG128="0",J128,0)</f>
        <v>0</v>
      </c>
      <c r="Y128" s="46"/>
      <c r="Z128" s="31">
        <f>IF(AD128=0,J128,0)</f>
        <v>0</v>
      </c>
      <c r="AA128" s="31">
        <f>IF(AD128=15,J128,0)</f>
        <v>0</v>
      </c>
      <c r="AB128" s="31">
        <f>IF(AD128=21,J128,0)</f>
        <v>0</v>
      </c>
      <c r="AD128" s="57">
        <v>21</v>
      </c>
      <c r="AE128" s="57">
        <f>G128*0</f>
        <v>0</v>
      </c>
      <c r="AF128" s="57">
        <f>G128*(1-0)</f>
        <v>0</v>
      </c>
      <c r="AG128" s="52" t="s">
        <v>7</v>
      </c>
      <c r="AM128" s="57">
        <f>F128*AE128</f>
        <v>0</v>
      </c>
      <c r="AN128" s="57">
        <f>F128*AF128</f>
        <v>0</v>
      </c>
      <c r="AO128" s="58" t="s">
        <v>425</v>
      </c>
      <c r="AP128" s="58" t="s">
        <v>433</v>
      </c>
      <c r="AQ128" s="46" t="s">
        <v>434</v>
      </c>
      <c r="AS128" s="57">
        <f>AM128+AN128</f>
        <v>0</v>
      </c>
      <c r="AT128" s="57">
        <f>G128/(100-AU128)*100</f>
        <v>0</v>
      </c>
      <c r="AU128" s="57">
        <v>0</v>
      </c>
      <c r="AV128" s="57">
        <f>L128</f>
        <v>0</v>
      </c>
    </row>
    <row r="129" spans="1:48" ht="12.75">
      <c r="A129" s="10" t="s">
        <v>113</v>
      </c>
      <c r="B129" s="10"/>
      <c r="C129" s="10" t="s">
        <v>236</v>
      </c>
      <c r="D129" s="10" t="s">
        <v>360</v>
      </c>
      <c r="E129" s="10" t="s">
        <v>380</v>
      </c>
      <c r="F129" s="31">
        <v>30</v>
      </c>
      <c r="G129" s="31">
        <v>0</v>
      </c>
      <c r="H129" s="31">
        <f>F129*AE129</f>
        <v>0</v>
      </c>
      <c r="I129" s="31">
        <f>J129-H129</f>
        <v>0</v>
      </c>
      <c r="J129" s="31">
        <f>F129*G129</f>
        <v>0</v>
      </c>
      <c r="K129" s="31">
        <v>0</v>
      </c>
      <c r="L129" s="31">
        <f>F129*K129</f>
        <v>0</v>
      </c>
      <c r="M129" s="52" t="s">
        <v>405</v>
      </c>
      <c r="P129" s="57">
        <f>IF(AG129="5",J129,0)</f>
        <v>0</v>
      </c>
      <c r="R129" s="57">
        <f>IF(AG129="1",H129,0)</f>
        <v>0</v>
      </c>
      <c r="S129" s="57">
        <f>IF(AG129="1",I129,0)</f>
        <v>0</v>
      </c>
      <c r="T129" s="57">
        <f>IF(AG129="7",H129,0)</f>
        <v>0</v>
      </c>
      <c r="U129" s="57">
        <f>IF(AG129="7",I129,0)</f>
        <v>0</v>
      </c>
      <c r="V129" s="57">
        <f>IF(AG129="2",H129,0)</f>
        <v>0</v>
      </c>
      <c r="W129" s="57">
        <f>IF(AG129="2",I129,0)</f>
        <v>0</v>
      </c>
      <c r="X129" s="57">
        <f>IF(AG129="0",J129,0)</f>
        <v>0</v>
      </c>
      <c r="Y129" s="46"/>
      <c r="Z129" s="31">
        <f>IF(AD129=0,J129,0)</f>
        <v>0</v>
      </c>
      <c r="AA129" s="31">
        <f>IF(AD129=15,J129,0)</f>
        <v>0</v>
      </c>
      <c r="AB129" s="31">
        <f>IF(AD129=21,J129,0)</f>
        <v>0</v>
      </c>
      <c r="AD129" s="57">
        <v>21</v>
      </c>
      <c r="AE129" s="57">
        <f>G129*0</f>
        <v>0</v>
      </c>
      <c r="AF129" s="57">
        <f>G129*(1-0)</f>
        <v>0</v>
      </c>
      <c r="AG129" s="52" t="s">
        <v>7</v>
      </c>
      <c r="AM129" s="57">
        <f>F129*AE129</f>
        <v>0</v>
      </c>
      <c r="AN129" s="57">
        <f>F129*AF129</f>
        <v>0</v>
      </c>
      <c r="AO129" s="58" t="s">
        <v>425</v>
      </c>
      <c r="AP129" s="58" t="s">
        <v>433</v>
      </c>
      <c r="AQ129" s="46" t="s">
        <v>434</v>
      </c>
      <c r="AS129" s="57">
        <f>AM129+AN129</f>
        <v>0</v>
      </c>
      <c r="AT129" s="57">
        <f>G129/(100-AU129)*100</f>
        <v>0</v>
      </c>
      <c r="AU129" s="57">
        <v>0</v>
      </c>
      <c r="AV129" s="57">
        <f>L129</f>
        <v>0</v>
      </c>
    </row>
    <row r="130" spans="1:48" ht="12.75">
      <c r="A130" s="10" t="s">
        <v>114</v>
      </c>
      <c r="B130" s="10"/>
      <c r="C130" s="10" t="s">
        <v>237</v>
      </c>
      <c r="D130" s="10" t="s">
        <v>361</v>
      </c>
      <c r="E130" s="10" t="s">
        <v>375</v>
      </c>
      <c r="F130" s="31">
        <v>6</v>
      </c>
      <c r="G130" s="31">
        <v>0</v>
      </c>
      <c r="H130" s="31">
        <f>F130*AE130</f>
        <v>0</v>
      </c>
      <c r="I130" s="31">
        <f>J130-H130</f>
        <v>0</v>
      </c>
      <c r="J130" s="31">
        <f>F130*G130</f>
        <v>0</v>
      </c>
      <c r="K130" s="31">
        <v>0.00333</v>
      </c>
      <c r="L130" s="31">
        <f>F130*K130</f>
        <v>0.01998</v>
      </c>
      <c r="M130" s="52" t="s">
        <v>405</v>
      </c>
      <c r="P130" s="57">
        <f>IF(AG130="5",J130,0)</f>
        <v>0</v>
      </c>
      <c r="R130" s="57">
        <f>IF(AG130="1",H130,0)</f>
        <v>0</v>
      </c>
      <c r="S130" s="57">
        <f>IF(AG130="1",I130,0)</f>
        <v>0</v>
      </c>
      <c r="T130" s="57">
        <f>IF(AG130="7",H130,0)</f>
        <v>0</v>
      </c>
      <c r="U130" s="57">
        <f>IF(AG130="7",I130,0)</f>
        <v>0</v>
      </c>
      <c r="V130" s="57">
        <f>IF(AG130="2",H130,0)</f>
        <v>0</v>
      </c>
      <c r="W130" s="57">
        <f>IF(AG130="2",I130,0)</f>
        <v>0</v>
      </c>
      <c r="X130" s="57">
        <f>IF(AG130="0",J130,0)</f>
        <v>0</v>
      </c>
      <c r="Y130" s="46"/>
      <c r="Z130" s="31">
        <f>IF(AD130=0,J130,0)</f>
        <v>0</v>
      </c>
      <c r="AA130" s="31">
        <f>IF(AD130=15,J130,0)</f>
        <v>0</v>
      </c>
      <c r="AB130" s="31">
        <f>IF(AD130=21,J130,0)</f>
        <v>0</v>
      </c>
      <c r="AD130" s="57">
        <v>21</v>
      </c>
      <c r="AE130" s="57">
        <f>G130*0.259672131147541</f>
        <v>0</v>
      </c>
      <c r="AF130" s="57">
        <f>G130*(1-0.259672131147541)</f>
        <v>0</v>
      </c>
      <c r="AG130" s="52" t="s">
        <v>7</v>
      </c>
      <c r="AM130" s="57">
        <f>F130*AE130</f>
        <v>0</v>
      </c>
      <c r="AN130" s="57">
        <f>F130*AF130</f>
        <v>0</v>
      </c>
      <c r="AO130" s="58" t="s">
        <v>425</v>
      </c>
      <c r="AP130" s="58" t="s">
        <v>433</v>
      </c>
      <c r="AQ130" s="46" t="s">
        <v>434</v>
      </c>
      <c r="AS130" s="57">
        <f>AM130+AN130</f>
        <v>0</v>
      </c>
      <c r="AT130" s="57">
        <f>G130/(100-AU130)*100</f>
        <v>0</v>
      </c>
      <c r="AU130" s="57">
        <v>0</v>
      </c>
      <c r="AV130" s="57">
        <f>L130</f>
        <v>0.01998</v>
      </c>
    </row>
    <row r="131" spans="1:48" ht="12.75">
      <c r="A131" s="10" t="s">
        <v>115</v>
      </c>
      <c r="B131" s="10"/>
      <c r="C131" s="10" t="s">
        <v>238</v>
      </c>
      <c r="D131" s="10" t="s">
        <v>362</v>
      </c>
      <c r="E131" s="10" t="s">
        <v>376</v>
      </c>
      <c r="F131" s="31">
        <v>83</v>
      </c>
      <c r="G131" s="31">
        <v>0</v>
      </c>
      <c r="H131" s="31">
        <f>F131*AE131</f>
        <v>0</v>
      </c>
      <c r="I131" s="31">
        <f>J131-H131</f>
        <v>0</v>
      </c>
      <c r="J131" s="31">
        <f>F131*G131</f>
        <v>0</v>
      </c>
      <c r="K131" s="31">
        <v>0.24328</v>
      </c>
      <c r="L131" s="31">
        <f>F131*K131</f>
        <v>20.192239999999998</v>
      </c>
      <c r="M131" s="52" t="s">
        <v>405</v>
      </c>
      <c r="P131" s="57">
        <f>IF(AG131="5",J131,0)</f>
        <v>0</v>
      </c>
      <c r="R131" s="57">
        <f>IF(AG131="1",H131,0)</f>
        <v>0</v>
      </c>
      <c r="S131" s="57">
        <f>IF(AG131="1",I131,0)</f>
        <v>0</v>
      </c>
      <c r="T131" s="57">
        <f>IF(AG131="7",H131,0)</f>
        <v>0</v>
      </c>
      <c r="U131" s="57">
        <f>IF(AG131="7",I131,0)</f>
        <v>0</v>
      </c>
      <c r="V131" s="57">
        <f>IF(AG131="2",H131,0)</f>
        <v>0</v>
      </c>
      <c r="W131" s="57">
        <f>IF(AG131="2",I131,0)</f>
        <v>0</v>
      </c>
      <c r="X131" s="57">
        <f>IF(AG131="0",J131,0)</f>
        <v>0</v>
      </c>
      <c r="Y131" s="46"/>
      <c r="Z131" s="31">
        <f>IF(AD131=0,J131,0)</f>
        <v>0</v>
      </c>
      <c r="AA131" s="31">
        <f>IF(AD131=15,J131,0)</f>
        <v>0</v>
      </c>
      <c r="AB131" s="31">
        <f>IF(AD131=21,J131,0)</f>
        <v>0</v>
      </c>
      <c r="AD131" s="57">
        <v>21</v>
      </c>
      <c r="AE131" s="57">
        <f>G131*0.00942321486336339</f>
        <v>0</v>
      </c>
      <c r="AF131" s="57">
        <f>G131*(1-0.00942321486336339)</f>
        <v>0</v>
      </c>
      <c r="AG131" s="52" t="s">
        <v>7</v>
      </c>
      <c r="AM131" s="57">
        <f>F131*AE131</f>
        <v>0</v>
      </c>
      <c r="AN131" s="57">
        <f>F131*AF131</f>
        <v>0</v>
      </c>
      <c r="AO131" s="58" t="s">
        <v>425</v>
      </c>
      <c r="AP131" s="58" t="s">
        <v>433</v>
      </c>
      <c r="AQ131" s="46" t="s">
        <v>434</v>
      </c>
      <c r="AS131" s="57">
        <f>AM131+AN131</f>
        <v>0</v>
      </c>
      <c r="AT131" s="57">
        <f>G131/(100-AU131)*100</f>
        <v>0</v>
      </c>
      <c r="AU131" s="57">
        <v>0</v>
      </c>
      <c r="AV131" s="57">
        <f>L131</f>
        <v>20.192239999999998</v>
      </c>
    </row>
    <row r="132" spans="1:37" ht="12.75">
      <c r="A132" s="11"/>
      <c r="B132" s="24"/>
      <c r="C132" s="24" t="s">
        <v>239</v>
      </c>
      <c r="D132" s="24" t="s">
        <v>363</v>
      </c>
      <c r="E132" s="11" t="s">
        <v>6</v>
      </c>
      <c r="F132" s="11" t="s">
        <v>6</v>
      </c>
      <c r="G132" s="11" t="s">
        <v>6</v>
      </c>
      <c r="H132" s="60">
        <f>SUM(H133:H137)</f>
        <v>0</v>
      </c>
      <c r="I132" s="60">
        <f>SUM(I133:I137)</f>
        <v>0</v>
      </c>
      <c r="J132" s="60">
        <f>H132+I132</f>
        <v>0</v>
      </c>
      <c r="K132" s="46"/>
      <c r="L132" s="60">
        <f>SUM(L133:L137)</f>
        <v>0</v>
      </c>
      <c r="M132" s="46"/>
      <c r="Y132" s="46"/>
      <c r="AI132" s="60">
        <f>SUM(Z133:Z137)</f>
        <v>0</v>
      </c>
      <c r="AJ132" s="60">
        <f>SUM(AA133:AA137)</f>
        <v>0</v>
      </c>
      <c r="AK132" s="60">
        <f>SUM(AB133:AB137)</f>
        <v>0</v>
      </c>
    </row>
    <row r="133" spans="1:48" ht="12.75">
      <c r="A133" s="10" t="s">
        <v>116</v>
      </c>
      <c r="B133" s="10"/>
      <c r="C133" s="10" t="s">
        <v>240</v>
      </c>
      <c r="D133" s="10" t="s">
        <v>364</v>
      </c>
      <c r="E133" s="10" t="s">
        <v>377</v>
      </c>
      <c r="F133" s="31">
        <v>13.64403</v>
      </c>
      <c r="G133" s="31">
        <v>0</v>
      </c>
      <c r="H133" s="31">
        <f>F133*AE133</f>
        <v>0</v>
      </c>
      <c r="I133" s="31">
        <f>J133-H133</f>
        <v>0</v>
      </c>
      <c r="J133" s="31">
        <f>F133*G133</f>
        <v>0</v>
      </c>
      <c r="K133" s="31">
        <v>0</v>
      </c>
      <c r="L133" s="31">
        <f>F133*K133</f>
        <v>0</v>
      </c>
      <c r="M133" s="52" t="s">
        <v>405</v>
      </c>
      <c r="P133" s="57">
        <f>IF(AG133="5",J133,0)</f>
        <v>0</v>
      </c>
      <c r="R133" s="57">
        <f>IF(AG133="1",H133,0)</f>
        <v>0</v>
      </c>
      <c r="S133" s="57">
        <f>IF(AG133="1",I133,0)</f>
        <v>0</v>
      </c>
      <c r="T133" s="57">
        <f>IF(AG133="7",H133,0)</f>
        <v>0</v>
      </c>
      <c r="U133" s="57">
        <f>IF(AG133="7",I133,0)</f>
        <v>0</v>
      </c>
      <c r="V133" s="57">
        <f>IF(AG133="2",H133,0)</f>
        <v>0</v>
      </c>
      <c r="W133" s="57">
        <f>IF(AG133="2",I133,0)</f>
        <v>0</v>
      </c>
      <c r="X133" s="57">
        <f>IF(AG133="0",J133,0)</f>
        <v>0</v>
      </c>
      <c r="Y133" s="46"/>
      <c r="Z133" s="31">
        <f>IF(AD133=0,J133,0)</f>
        <v>0</v>
      </c>
      <c r="AA133" s="31">
        <f>IF(AD133=15,J133,0)</f>
        <v>0</v>
      </c>
      <c r="AB133" s="31">
        <f>IF(AD133=21,J133,0)</f>
        <v>0</v>
      </c>
      <c r="AD133" s="57">
        <v>21</v>
      </c>
      <c r="AE133" s="57">
        <f>G133*0</f>
        <v>0</v>
      </c>
      <c r="AF133" s="57">
        <f>G133*(1-0)</f>
        <v>0</v>
      </c>
      <c r="AG133" s="52" t="s">
        <v>11</v>
      </c>
      <c r="AM133" s="57">
        <f>F133*AE133</f>
        <v>0</v>
      </c>
      <c r="AN133" s="57">
        <f>F133*AF133</f>
        <v>0</v>
      </c>
      <c r="AO133" s="58" t="s">
        <v>426</v>
      </c>
      <c r="AP133" s="58" t="s">
        <v>433</v>
      </c>
      <c r="AQ133" s="46" t="s">
        <v>434</v>
      </c>
      <c r="AS133" s="57">
        <f>AM133+AN133</f>
        <v>0</v>
      </c>
      <c r="AT133" s="57">
        <f>G133/(100-AU133)*100</f>
        <v>0</v>
      </c>
      <c r="AU133" s="57">
        <v>0</v>
      </c>
      <c r="AV133" s="57">
        <f>L133</f>
        <v>0</v>
      </c>
    </row>
    <row r="134" spans="1:48" ht="12.75">
      <c r="A134" s="10" t="s">
        <v>117</v>
      </c>
      <c r="B134" s="10"/>
      <c r="C134" s="10" t="s">
        <v>241</v>
      </c>
      <c r="D134" s="10" t="s">
        <v>365</v>
      </c>
      <c r="E134" s="10" t="s">
        <v>377</v>
      </c>
      <c r="F134" s="31">
        <v>13.64403</v>
      </c>
      <c r="G134" s="31">
        <v>0</v>
      </c>
      <c r="H134" s="31">
        <f>F134*AE134</f>
        <v>0</v>
      </c>
      <c r="I134" s="31">
        <f>J134-H134</f>
        <v>0</v>
      </c>
      <c r="J134" s="31">
        <f>F134*G134</f>
        <v>0</v>
      </c>
      <c r="K134" s="31">
        <v>0</v>
      </c>
      <c r="L134" s="31">
        <f>F134*K134</f>
        <v>0</v>
      </c>
      <c r="M134" s="52" t="s">
        <v>405</v>
      </c>
      <c r="P134" s="57">
        <f>IF(AG134="5",J134,0)</f>
        <v>0</v>
      </c>
      <c r="R134" s="57">
        <f>IF(AG134="1",H134,0)</f>
        <v>0</v>
      </c>
      <c r="S134" s="57">
        <f>IF(AG134="1",I134,0)</f>
        <v>0</v>
      </c>
      <c r="T134" s="57">
        <f>IF(AG134="7",H134,0)</f>
        <v>0</v>
      </c>
      <c r="U134" s="57">
        <f>IF(AG134="7",I134,0)</f>
        <v>0</v>
      </c>
      <c r="V134" s="57">
        <f>IF(AG134="2",H134,0)</f>
        <v>0</v>
      </c>
      <c r="W134" s="57">
        <f>IF(AG134="2",I134,0)</f>
        <v>0</v>
      </c>
      <c r="X134" s="57">
        <f>IF(AG134="0",J134,0)</f>
        <v>0</v>
      </c>
      <c r="Y134" s="46"/>
      <c r="Z134" s="31">
        <f>IF(AD134=0,J134,0)</f>
        <v>0</v>
      </c>
      <c r="AA134" s="31">
        <f>IF(AD134=15,J134,0)</f>
        <v>0</v>
      </c>
      <c r="AB134" s="31">
        <f>IF(AD134=21,J134,0)</f>
        <v>0</v>
      </c>
      <c r="AD134" s="57">
        <v>21</v>
      </c>
      <c r="AE134" s="57">
        <f>G134*0</f>
        <v>0</v>
      </c>
      <c r="AF134" s="57">
        <f>G134*(1-0)</f>
        <v>0</v>
      </c>
      <c r="AG134" s="52" t="s">
        <v>11</v>
      </c>
      <c r="AM134" s="57">
        <f>F134*AE134</f>
        <v>0</v>
      </c>
      <c r="AN134" s="57">
        <f>F134*AF134</f>
        <v>0</v>
      </c>
      <c r="AO134" s="58" t="s">
        <v>426</v>
      </c>
      <c r="AP134" s="58" t="s">
        <v>433</v>
      </c>
      <c r="AQ134" s="46" t="s">
        <v>434</v>
      </c>
      <c r="AS134" s="57">
        <f>AM134+AN134</f>
        <v>0</v>
      </c>
      <c r="AT134" s="57">
        <f>G134/(100-AU134)*100</f>
        <v>0</v>
      </c>
      <c r="AU134" s="57">
        <v>0</v>
      </c>
      <c r="AV134" s="57">
        <f>L134</f>
        <v>0</v>
      </c>
    </row>
    <row r="135" spans="1:48" ht="12.75">
      <c r="A135" s="10" t="s">
        <v>118</v>
      </c>
      <c r="B135" s="10"/>
      <c r="C135" s="10" t="s">
        <v>242</v>
      </c>
      <c r="D135" s="10" t="s">
        <v>366</v>
      </c>
      <c r="E135" s="10" t="s">
        <v>377</v>
      </c>
      <c r="F135" s="31">
        <v>136.4403</v>
      </c>
      <c r="G135" s="31">
        <v>0</v>
      </c>
      <c r="H135" s="31">
        <f>F135*AE135</f>
        <v>0</v>
      </c>
      <c r="I135" s="31">
        <f>J135-H135</f>
        <v>0</v>
      </c>
      <c r="J135" s="31">
        <f>F135*G135</f>
        <v>0</v>
      </c>
      <c r="K135" s="31">
        <v>0</v>
      </c>
      <c r="L135" s="31">
        <f>F135*K135</f>
        <v>0</v>
      </c>
      <c r="M135" s="52" t="s">
        <v>405</v>
      </c>
      <c r="P135" s="57">
        <f>IF(AG135="5",J135,0)</f>
        <v>0</v>
      </c>
      <c r="R135" s="57">
        <f>IF(AG135="1",H135,0)</f>
        <v>0</v>
      </c>
      <c r="S135" s="57">
        <f>IF(AG135="1",I135,0)</f>
        <v>0</v>
      </c>
      <c r="T135" s="57">
        <f>IF(AG135="7",H135,0)</f>
        <v>0</v>
      </c>
      <c r="U135" s="57">
        <f>IF(AG135="7",I135,0)</f>
        <v>0</v>
      </c>
      <c r="V135" s="57">
        <f>IF(AG135="2",H135,0)</f>
        <v>0</v>
      </c>
      <c r="W135" s="57">
        <f>IF(AG135="2",I135,0)</f>
        <v>0</v>
      </c>
      <c r="X135" s="57">
        <f>IF(AG135="0",J135,0)</f>
        <v>0</v>
      </c>
      <c r="Y135" s="46"/>
      <c r="Z135" s="31">
        <f>IF(AD135=0,J135,0)</f>
        <v>0</v>
      </c>
      <c r="AA135" s="31">
        <f>IF(AD135=15,J135,0)</f>
        <v>0</v>
      </c>
      <c r="AB135" s="31">
        <f>IF(AD135=21,J135,0)</f>
        <v>0</v>
      </c>
      <c r="AD135" s="57">
        <v>21</v>
      </c>
      <c r="AE135" s="57">
        <f>G135*0</f>
        <v>0</v>
      </c>
      <c r="AF135" s="57">
        <f>G135*(1-0)</f>
        <v>0</v>
      </c>
      <c r="AG135" s="52" t="s">
        <v>11</v>
      </c>
      <c r="AM135" s="57">
        <f>F135*AE135</f>
        <v>0</v>
      </c>
      <c r="AN135" s="57">
        <f>F135*AF135</f>
        <v>0</v>
      </c>
      <c r="AO135" s="58" t="s">
        <v>426</v>
      </c>
      <c r="AP135" s="58" t="s">
        <v>433</v>
      </c>
      <c r="AQ135" s="46" t="s">
        <v>434</v>
      </c>
      <c r="AS135" s="57">
        <f>AM135+AN135</f>
        <v>0</v>
      </c>
      <c r="AT135" s="57">
        <f>G135/(100-AU135)*100</f>
        <v>0</v>
      </c>
      <c r="AU135" s="57">
        <v>0</v>
      </c>
      <c r="AV135" s="57">
        <f>L135</f>
        <v>0</v>
      </c>
    </row>
    <row r="136" spans="1:48" ht="12.75">
      <c r="A136" s="10" t="s">
        <v>119</v>
      </c>
      <c r="B136" s="10"/>
      <c r="C136" s="10" t="s">
        <v>243</v>
      </c>
      <c r="D136" s="10" t="s">
        <v>367</v>
      </c>
      <c r="E136" s="10" t="s">
        <v>377</v>
      </c>
      <c r="F136" s="31">
        <v>13.64403</v>
      </c>
      <c r="G136" s="31">
        <v>0</v>
      </c>
      <c r="H136" s="31">
        <f>F136*AE136</f>
        <v>0</v>
      </c>
      <c r="I136" s="31">
        <f>J136-H136</f>
        <v>0</v>
      </c>
      <c r="J136" s="31">
        <f>F136*G136</f>
        <v>0</v>
      </c>
      <c r="K136" s="31">
        <v>0</v>
      </c>
      <c r="L136" s="31">
        <f>F136*K136</f>
        <v>0</v>
      </c>
      <c r="M136" s="52" t="s">
        <v>405</v>
      </c>
      <c r="P136" s="57">
        <f>IF(AG136="5",J136,0)</f>
        <v>0</v>
      </c>
      <c r="R136" s="57">
        <f>IF(AG136="1",H136,0)</f>
        <v>0</v>
      </c>
      <c r="S136" s="57">
        <f>IF(AG136="1",I136,0)</f>
        <v>0</v>
      </c>
      <c r="T136" s="57">
        <f>IF(AG136="7",H136,0)</f>
        <v>0</v>
      </c>
      <c r="U136" s="57">
        <f>IF(AG136="7",I136,0)</f>
        <v>0</v>
      </c>
      <c r="V136" s="57">
        <f>IF(AG136="2",H136,0)</f>
        <v>0</v>
      </c>
      <c r="W136" s="57">
        <f>IF(AG136="2",I136,0)</f>
        <v>0</v>
      </c>
      <c r="X136" s="57">
        <f>IF(AG136="0",J136,0)</f>
        <v>0</v>
      </c>
      <c r="Y136" s="46"/>
      <c r="Z136" s="31">
        <f>IF(AD136=0,J136,0)</f>
        <v>0</v>
      </c>
      <c r="AA136" s="31">
        <f>IF(AD136=15,J136,0)</f>
        <v>0</v>
      </c>
      <c r="AB136" s="31">
        <f>IF(AD136=21,J136,0)</f>
        <v>0</v>
      </c>
      <c r="AD136" s="57">
        <v>21</v>
      </c>
      <c r="AE136" s="57">
        <f>G136*0</f>
        <v>0</v>
      </c>
      <c r="AF136" s="57">
        <f>G136*(1-0)</f>
        <v>0</v>
      </c>
      <c r="AG136" s="52" t="s">
        <v>11</v>
      </c>
      <c r="AM136" s="57">
        <f>F136*AE136</f>
        <v>0</v>
      </c>
      <c r="AN136" s="57">
        <f>F136*AF136</f>
        <v>0</v>
      </c>
      <c r="AO136" s="58" t="s">
        <v>426</v>
      </c>
      <c r="AP136" s="58" t="s">
        <v>433</v>
      </c>
      <c r="AQ136" s="46" t="s">
        <v>434</v>
      </c>
      <c r="AS136" s="57">
        <f>AM136+AN136</f>
        <v>0</v>
      </c>
      <c r="AT136" s="57">
        <f>G136/(100-AU136)*100</f>
        <v>0</v>
      </c>
      <c r="AU136" s="57">
        <v>0</v>
      </c>
      <c r="AV136" s="57">
        <f>L136</f>
        <v>0</v>
      </c>
    </row>
    <row r="137" spans="1:48" ht="12.75">
      <c r="A137" s="13" t="s">
        <v>120</v>
      </c>
      <c r="B137" s="13"/>
      <c r="C137" s="13" t="s">
        <v>244</v>
      </c>
      <c r="D137" s="13" t="s">
        <v>368</v>
      </c>
      <c r="E137" s="13" t="s">
        <v>377</v>
      </c>
      <c r="F137" s="33">
        <v>13.64403</v>
      </c>
      <c r="G137" s="33">
        <v>0</v>
      </c>
      <c r="H137" s="33">
        <f>F137*AE137</f>
        <v>0</v>
      </c>
      <c r="I137" s="33">
        <f>J137-H137</f>
        <v>0</v>
      </c>
      <c r="J137" s="33">
        <f>F137*G137</f>
        <v>0</v>
      </c>
      <c r="K137" s="33">
        <v>0</v>
      </c>
      <c r="L137" s="33">
        <f>F137*K137</f>
        <v>0</v>
      </c>
      <c r="M137" s="54" t="s">
        <v>405</v>
      </c>
      <c r="P137" s="57">
        <f>IF(AG137="5",J137,0)</f>
        <v>0</v>
      </c>
      <c r="R137" s="57">
        <f>IF(AG137="1",H137,0)</f>
        <v>0</v>
      </c>
      <c r="S137" s="57">
        <f>IF(AG137="1",I137,0)</f>
        <v>0</v>
      </c>
      <c r="T137" s="57">
        <f>IF(AG137="7",H137,0)</f>
        <v>0</v>
      </c>
      <c r="U137" s="57">
        <f>IF(AG137="7",I137,0)</f>
        <v>0</v>
      </c>
      <c r="V137" s="57">
        <f>IF(AG137="2",H137,0)</f>
        <v>0</v>
      </c>
      <c r="W137" s="57">
        <f>IF(AG137="2",I137,0)</f>
        <v>0</v>
      </c>
      <c r="X137" s="57">
        <f>IF(AG137="0",J137,0)</f>
        <v>0</v>
      </c>
      <c r="Y137" s="46"/>
      <c r="Z137" s="31">
        <f>IF(AD137=0,J137,0)</f>
        <v>0</v>
      </c>
      <c r="AA137" s="31">
        <f>IF(AD137=15,J137,0)</f>
        <v>0</v>
      </c>
      <c r="AB137" s="31">
        <f>IF(AD137=21,J137,0)</f>
        <v>0</v>
      </c>
      <c r="AD137" s="57">
        <v>21</v>
      </c>
      <c r="AE137" s="57">
        <f>G137*0</f>
        <v>0</v>
      </c>
      <c r="AF137" s="57">
        <f>G137*(1-0)</f>
        <v>0</v>
      </c>
      <c r="AG137" s="52" t="s">
        <v>11</v>
      </c>
      <c r="AM137" s="57">
        <f>F137*AE137</f>
        <v>0</v>
      </c>
      <c r="AN137" s="57">
        <f>F137*AF137</f>
        <v>0</v>
      </c>
      <c r="AO137" s="58" t="s">
        <v>426</v>
      </c>
      <c r="AP137" s="58" t="s">
        <v>433</v>
      </c>
      <c r="AQ137" s="46" t="s">
        <v>434</v>
      </c>
      <c r="AS137" s="57">
        <f>AM137+AN137</f>
        <v>0</v>
      </c>
      <c r="AT137" s="57">
        <f>G137/(100-AU137)*100</f>
        <v>0</v>
      </c>
      <c r="AU137" s="57">
        <v>0</v>
      </c>
      <c r="AV137" s="57">
        <f>L137</f>
        <v>0</v>
      </c>
    </row>
    <row r="138" spans="1:13" ht="12.75">
      <c r="A138" s="14"/>
      <c r="B138" s="14"/>
      <c r="C138" s="14"/>
      <c r="D138" s="14"/>
      <c r="E138" s="14"/>
      <c r="F138" s="14"/>
      <c r="G138" s="14"/>
      <c r="H138" s="38" t="s">
        <v>391</v>
      </c>
      <c r="I138" s="42"/>
      <c r="J138" s="61">
        <f>J12+J14+J16+J18+J45+J86+J108+J111+J113+J119+J121+J132</f>
        <v>0</v>
      </c>
      <c r="K138" s="14"/>
      <c r="L138" s="14"/>
      <c r="M138" s="14"/>
    </row>
    <row r="139" ht="11.25" customHeight="1">
      <c r="A139" s="15" t="s">
        <v>121</v>
      </c>
    </row>
    <row r="140" spans="1:13" ht="12.75">
      <c r="A140" s="16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</sheetData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H138:I138"/>
    <mergeCell ref="A140:M140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16.57421875" customWidth="1"/>
    <col min="3" max="3" width="41.7109375" customWidth="1"/>
    <col min="4" max="4" width="22.140625" customWidth="1"/>
    <col min="5" max="5" width="21.00390625" customWidth="1"/>
    <col min="6" max="6" width="20.8515625" customWidth="1"/>
    <col min="7" max="7" width="19.7109375" customWidth="1"/>
    <col min="8" max="9" width="0" hidden="1" customWidth="1"/>
  </cols>
  <sheetData>
    <row r="1" spans="1:7" ht="72.75" customHeight="1">
      <c r="A1" s="124" t="s">
        <v>435</v>
      </c>
      <c r="B1" s="17"/>
      <c r="C1" s="17"/>
      <c r="D1" s="17"/>
      <c r="E1" s="17"/>
      <c r="F1" s="17"/>
      <c r="G1" s="17"/>
    </row>
    <row r="2" spans="1:8" ht="12.75">
      <c r="A2" s="3" t="s">
        <v>1</v>
      </c>
      <c r="B2" s="25" t="str">
        <f>'Stavební rozpočet'!D2</f>
        <v>Školka Ladova</v>
      </c>
      <c r="C2" s="42"/>
      <c r="D2" s="39" t="s">
        <v>392</v>
      </c>
      <c r="E2" s="39" t="str">
        <f>'Stavební rozpočet'!J2</f>
        <v> </v>
      </c>
      <c r="F2" s="18"/>
      <c r="G2" s="47"/>
      <c r="H2" s="55"/>
    </row>
    <row r="3" spans="1:8" ht="12.75">
      <c r="A3" s="4"/>
      <c r="B3" s="26"/>
      <c r="C3" s="26"/>
      <c r="D3" s="19"/>
      <c r="E3" s="19"/>
      <c r="F3" s="19"/>
      <c r="G3" s="48"/>
      <c r="H3" s="55"/>
    </row>
    <row r="4" spans="1:8" ht="12.75">
      <c r="A4" s="5" t="s">
        <v>2</v>
      </c>
      <c r="B4" s="16" t="str">
        <f>'Stavební rozpočet'!D4</f>
        <v>Část ZTI</v>
      </c>
      <c r="C4" s="19"/>
      <c r="D4" s="16" t="s">
        <v>393</v>
      </c>
      <c r="E4" s="16" t="str">
        <f>'Stavební rozpočet'!J4</f>
        <v>INTER ART PROJEKT s.r.o.</v>
      </c>
      <c r="F4" s="19"/>
      <c r="G4" s="48"/>
      <c r="H4" s="55"/>
    </row>
    <row r="5" spans="1:8" ht="12.75">
      <c r="A5" s="4"/>
      <c r="B5" s="19"/>
      <c r="C5" s="19"/>
      <c r="D5" s="19"/>
      <c r="E5" s="19"/>
      <c r="F5" s="19"/>
      <c r="G5" s="48"/>
      <c r="H5" s="55"/>
    </row>
    <row r="6" spans="1:8" ht="12.75">
      <c r="A6" s="5" t="s">
        <v>3</v>
      </c>
      <c r="B6" s="16" t="str">
        <f>'Stavební rozpočet'!D6</f>
        <v>Litvínov</v>
      </c>
      <c r="C6" s="19"/>
      <c r="D6" s="16" t="s">
        <v>394</v>
      </c>
      <c r="E6" s="16" t="str">
        <f>'Stavební rozpočet'!J6</f>
        <v>výběrové řízení</v>
      </c>
      <c r="F6" s="19"/>
      <c r="G6" s="48"/>
      <c r="H6" s="55"/>
    </row>
    <row r="7" spans="1:8" ht="12.75">
      <c r="A7" s="4"/>
      <c r="B7" s="19"/>
      <c r="C7" s="19"/>
      <c r="D7" s="19"/>
      <c r="E7" s="19"/>
      <c r="F7" s="19"/>
      <c r="G7" s="48"/>
      <c r="H7" s="55"/>
    </row>
    <row r="8" spans="1:8" ht="12.75">
      <c r="A8" s="5" t="s">
        <v>395</v>
      </c>
      <c r="B8" s="16" t="str">
        <f>'Stavební rozpočet'!J8</f>
        <v>Šefl</v>
      </c>
      <c r="C8" s="19"/>
      <c r="D8" s="29" t="s">
        <v>372</v>
      </c>
      <c r="E8" s="16" t="str">
        <f>'Stavební rozpočet'!G8</f>
        <v>18.04.2018</v>
      </c>
      <c r="F8" s="19"/>
      <c r="G8" s="48"/>
      <c r="H8" s="55"/>
    </row>
    <row r="9" spans="1:8" ht="12.75">
      <c r="A9" s="6"/>
      <c r="B9" s="20"/>
      <c r="C9" s="20"/>
      <c r="D9" s="20"/>
      <c r="E9" s="20"/>
      <c r="F9" s="20"/>
      <c r="G9" s="49"/>
      <c r="H9" s="55"/>
    </row>
    <row r="10" spans="1:8" ht="12.75">
      <c r="A10" s="62" t="s">
        <v>122</v>
      </c>
      <c r="B10" s="64" t="s">
        <v>123</v>
      </c>
      <c r="C10" s="65" t="s">
        <v>248</v>
      </c>
      <c r="D10" s="66" t="s">
        <v>436</v>
      </c>
      <c r="E10" s="66" t="s">
        <v>437</v>
      </c>
      <c r="F10" s="66" t="s">
        <v>438</v>
      </c>
      <c r="G10" s="68" t="s">
        <v>439</v>
      </c>
      <c r="H10" s="56"/>
    </row>
    <row r="11" spans="1:9" ht="12.75">
      <c r="A11" s="63"/>
      <c r="B11" s="63" t="s">
        <v>40</v>
      </c>
      <c r="C11" s="63" t="s">
        <v>250</v>
      </c>
      <c r="D11" s="69">
        <f>'Stavební rozpočet'!H12</f>
        <v>0</v>
      </c>
      <c r="E11" s="69">
        <f>'Stavební rozpočet'!I12</f>
        <v>0</v>
      </c>
      <c r="F11" s="69">
        <f>D11+E11</f>
        <v>0</v>
      </c>
      <c r="G11" s="69">
        <f>'Stavební rozpočet'!L12</f>
        <v>11.4025725</v>
      </c>
      <c r="H11" s="57" t="s">
        <v>440</v>
      </c>
      <c r="I11" s="57">
        <f>IF(H11="F",0,F11)</f>
        <v>0</v>
      </c>
    </row>
    <row r="12" spans="1:9" ht="12.75">
      <c r="A12" s="29"/>
      <c r="B12" s="29" t="s">
        <v>47</v>
      </c>
      <c r="C12" s="29" t="s">
        <v>252</v>
      </c>
      <c r="D12" s="57">
        <f>'Stavební rozpočet'!H14</f>
        <v>0</v>
      </c>
      <c r="E12" s="57">
        <f>'Stavební rozpočet'!I14</f>
        <v>0</v>
      </c>
      <c r="F12" s="57">
        <f>D12+E12</f>
        <v>0</v>
      </c>
      <c r="G12" s="57">
        <f>'Stavební rozpočet'!L14</f>
        <v>0.17886</v>
      </c>
      <c r="H12" s="57" t="s">
        <v>440</v>
      </c>
      <c r="I12" s="57">
        <f>IF(H12="F",0,F12)</f>
        <v>0</v>
      </c>
    </row>
    <row r="13" spans="1:9" ht="12.75">
      <c r="A13" s="29"/>
      <c r="B13" s="29" t="s">
        <v>67</v>
      </c>
      <c r="C13" s="29" t="s">
        <v>254</v>
      </c>
      <c r="D13" s="57">
        <f>'Stavební rozpočet'!H16</f>
        <v>0</v>
      </c>
      <c r="E13" s="57">
        <f>'Stavební rozpočet'!I16</f>
        <v>0</v>
      </c>
      <c r="F13" s="57">
        <f>D13+E13</f>
        <v>0</v>
      </c>
      <c r="G13" s="57">
        <f>'Stavební rozpočet'!L16</f>
        <v>1.569051</v>
      </c>
      <c r="H13" s="57" t="s">
        <v>440</v>
      </c>
      <c r="I13" s="57">
        <f>IF(H13="F",0,F13)</f>
        <v>0</v>
      </c>
    </row>
    <row r="14" spans="1:9" ht="12.75">
      <c r="A14" s="29"/>
      <c r="B14" s="29" t="s">
        <v>127</v>
      </c>
      <c r="C14" s="29" t="s">
        <v>256</v>
      </c>
      <c r="D14" s="57">
        <f>'Stavební rozpočet'!H18</f>
        <v>0</v>
      </c>
      <c r="E14" s="57">
        <f>'Stavební rozpočet'!I18</f>
        <v>0</v>
      </c>
      <c r="F14" s="57">
        <f>D14+E14</f>
        <v>0</v>
      </c>
      <c r="G14" s="57">
        <f>'Stavební rozpočet'!L18</f>
        <v>4.57661</v>
      </c>
      <c r="H14" s="57" t="s">
        <v>440</v>
      </c>
      <c r="I14" s="57">
        <f>IF(H14="F",0,F14)</f>
        <v>0</v>
      </c>
    </row>
    <row r="15" spans="1:9" ht="12.75">
      <c r="A15" s="29"/>
      <c r="B15" s="29" t="s">
        <v>154</v>
      </c>
      <c r="C15" s="29" t="s">
        <v>283</v>
      </c>
      <c r="D15" s="57">
        <f>'Stavební rozpočet'!H45</f>
        <v>0</v>
      </c>
      <c r="E15" s="57">
        <f>'Stavební rozpočet'!I45</f>
        <v>0</v>
      </c>
      <c r="F15" s="57">
        <f>D15+E15</f>
        <v>0</v>
      </c>
      <c r="G15" s="57">
        <f>'Stavební rozpočet'!L45</f>
        <v>5.37435</v>
      </c>
      <c r="H15" s="57" t="s">
        <v>440</v>
      </c>
      <c r="I15" s="57">
        <f>IF(H15="F",0,F15)</f>
        <v>0</v>
      </c>
    </row>
    <row r="16" spans="1:9" ht="12.75">
      <c r="A16" s="29"/>
      <c r="B16" s="29" t="s">
        <v>195</v>
      </c>
      <c r="C16" s="29" t="s">
        <v>317</v>
      </c>
      <c r="D16" s="57">
        <f>'Stavební rozpočet'!H86</f>
        <v>0</v>
      </c>
      <c r="E16" s="57">
        <f>'Stavební rozpočet'!I86</f>
        <v>0</v>
      </c>
      <c r="F16" s="57">
        <f>D16+E16</f>
        <v>0</v>
      </c>
      <c r="G16" s="57">
        <f>'Stavební rozpočet'!L86</f>
        <v>1.8401200000000002</v>
      </c>
      <c r="H16" s="57" t="s">
        <v>440</v>
      </c>
      <c r="I16" s="57">
        <f>IF(H16="F",0,F16)</f>
        <v>0</v>
      </c>
    </row>
    <row r="17" spans="1:9" ht="12.75">
      <c r="A17" s="29"/>
      <c r="B17" s="29" t="s">
        <v>217</v>
      </c>
      <c r="C17" s="29" t="s">
        <v>339</v>
      </c>
      <c r="D17" s="57">
        <f>'Stavební rozpočet'!H108</f>
        <v>0</v>
      </c>
      <c r="E17" s="57">
        <f>'Stavební rozpočet'!I108</f>
        <v>0</v>
      </c>
      <c r="F17" s="57">
        <f>D17+E17</f>
        <v>0</v>
      </c>
      <c r="G17" s="57">
        <f>'Stavební rozpočet'!L108</f>
        <v>0.131</v>
      </c>
      <c r="H17" s="57" t="s">
        <v>440</v>
      </c>
      <c r="I17" s="57">
        <f>IF(H17="F",0,F17)</f>
        <v>0</v>
      </c>
    </row>
    <row r="18" spans="1:9" ht="12.75">
      <c r="A18" s="29"/>
      <c r="B18" s="29" t="s">
        <v>220</v>
      </c>
      <c r="C18" s="29" t="s">
        <v>342</v>
      </c>
      <c r="D18" s="57">
        <f>'Stavební rozpočet'!H111</f>
        <v>0</v>
      </c>
      <c r="E18" s="57">
        <f>'Stavební rozpočet'!I111</f>
        <v>0</v>
      </c>
      <c r="F18" s="57">
        <f>D18+E18</f>
        <v>0</v>
      </c>
      <c r="G18" s="57">
        <f>'Stavební rozpočet'!L111</f>
        <v>0.0076</v>
      </c>
      <c r="H18" s="57" t="s">
        <v>440</v>
      </c>
      <c r="I18" s="57">
        <f>IF(H18="F",0,F18)</f>
        <v>0</v>
      </c>
    </row>
    <row r="19" spans="1:9" ht="12.75">
      <c r="A19" s="29"/>
      <c r="B19" s="29" t="s">
        <v>222</v>
      </c>
      <c r="C19" s="29" t="s">
        <v>344</v>
      </c>
      <c r="D19" s="57">
        <f>'Stavební rozpočet'!H113</f>
        <v>0</v>
      </c>
      <c r="E19" s="57">
        <f>'Stavební rozpočet'!I113</f>
        <v>0</v>
      </c>
      <c r="F19" s="57">
        <f>D19+E19</f>
        <v>0</v>
      </c>
      <c r="G19" s="57">
        <f>'Stavební rozpočet'!L113</f>
        <v>2.072406</v>
      </c>
      <c r="H19" s="57" t="s">
        <v>440</v>
      </c>
      <c r="I19" s="57">
        <f>IF(H19="F",0,F19)</f>
        <v>0</v>
      </c>
    </row>
    <row r="20" spans="1:9" ht="12.75">
      <c r="A20" s="29"/>
      <c r="B20" s="29" t="s">
        <v>96</v>
      </c>
      <c r="C20" s="29" t="s">
        <v>350</v>
      </c>
      <c r="D20" s="57">
        <f>'Stavební rozpočet'!H119</f>
        <v>0</v>
      </c>
      <c r="E20" s="57">
        <f>'Stavební rozpočet'!I119</f>
        <v>0</v>
      </c>
      <c r="F20" s="57">
        <f>D20+E20</f>
        <v>0</v>
      </c>
      <c r="G20" s="57">
        <f>'Stavební rozpočet'!L119</f>
        <v>0</v>
      </c>
      <c r="H20" s="57" t="s">
        <v>440</v>
      </c>
      <c r="I20" s="57">
        <f>IF(H20="F",0,F20)</f>
        <v>0</v>
      </c>
    </row>
    <row r="21" spans="1:9" ht="12.75">
      <c r="A21" s="29"/>
      <c r="B21" s="29" t="s">
        <v>103</v>
      </c>
      <c r="C21" s="29" t="s">
        <v>352</v>
      </c>
      <c r="D21" s="57">
        <f>'Stavební rozpočet'!H121</f>
        <v>0</v>
      </c>
      <c r="E21" s="57">
        <f>'Stavební rozpočet'!I121</f>
        <v>0</v>
      </c>
      <c r="F21" s="57">
        <f>D21+E21</f>
        <v>0</v>
      </c>
      <c r="G21" s="57">
        <f>'Stavební rozpočet'!L121</f>
        <v>22.16798</v>
      </c>
      <c r="H21" s="57" t="s">
        <v>440</v>
      </c>
      <c r="I21" s="57">
        <f>IF(H21="F",0,F21)</f>
        <v>0</v>
      </c>
    </row>
    <row r="22" spans="1:9" ht="12.75">
      <c r="A22" s="29"/>
      <c r="B22" s="29" t="s">
        <v>239</v>
      </c>
      <c r="C22" s="29" t="s">
        <v>363</v>
      </c>
      <c r="D22" s="57">
        <f>'Stavební rozpočet'!H132</f>
        <v>0</v>
      </c>
      <c r="E22" s="57">
        <f>'Stavební rozpočet'!I132</f>
        <v>0</v>
      </c>
      <c r="F22" s="57">
        <f>D22+E22</f>
        <v>0</v>
      </c>
      <c r="G22" s="57">
        <f>'Stavební rozpočet'!L132</f>
        <v>0</v>
      </c>
      <c r="H22" s="57" t="s">
        <v>440</v>
      </c>
      <c r="I22" s="57">
        <f>IF(H22="F",0,F22)</f>
        <v>0</v>
      </c>
    </row>
    <row r="24" spans="5:6" ht="12.75">
      <c r="E24" s="67" t="s">
        <v>391</v>
      </c>
      <c r="F24" s="70">
        <f>SUM(I11:I22)</f>
        <v>0</v>
      </c>
    </row>
  </sheetData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workbookViewId="0" topLeftCell="A1">
      <pane ySplit="10" topLeftCell="A11" activePane="bottomLeft" state="frozen"/>
      <selection pane="bottomLeft" activeCell="A1" sqref="A1:H1"/>
    </sheetView>
  </sheetViews>
  <sheetFormatPr defaultColWidth="11.57421875" defaultRowHeight="12.75"/>
  <cols>
    <col min="1" max="2" width="9.140625" customWidth="1"/>
    <col min="3" max="3" width="13.28125" customWidth="1"/>
    <col min="4" max="4" width="50.28125" customWidth="1"/>
    <col min="5" max="5" width="14.57421875" customWidth="1"/>
    <col min="6" max="6" width="24.140625" customWidth="1"/>
    <col min="7" max="7" width="20.421875" customWidth="1"/>
    <col min="8" max="8" width="16.421875" customWidth="1"/>
  </cols>
  <sheetData>
    <row r="1" spans="1:8" ht="72.75" customHeight="1">
      <c r="A1" s="124" t="s">
        <v>441</v>
      </c>
      <c r="B1" s="17"/>
      <c r="C1" s="17"/>
      <c r="D1" s="17"/>
      <c r="E1" s="17"/>
      <c r="F1" s="17"/>
      <c r="G1" s="17"/>
      <c r="H1" s="17"/>
    </row>
    <row r="2" spans="1:9" ht="12.75">
      <c r="A2" s="3" t="s">
        <v>1</v>
      </c>
      <c r="B2" s="18"/>
      <c r="C2" s="25" t="str">
        <f>'Stavební rozpočet'!D2</f>
        <v>Školka Ladova</v>
      </c>
      <c r="D2" s="42"/>
      <c r="E2" s="39" t="s">
        <v>392</v>
      </c>
      <c r="F2" s="39" t="str">
        <f>'Stavební rozpočet'!J2</f>
        <v> </v>
      </c>
      <c r="G2" s="18"/>
      <c r="H2" s="47"/>
      <c r="I2" s="55"/>
    </row>
    <row r="3" spans="1:9" ht="12.75">
      <c r="A3" s="4"/>
      <c r="B3" s="19"/>
      <c r="C3" s="26"/>
      <c r="D3" s="26"/>
      <c r="E3" s="19"/>
      <c r="F3" s="19"/>
      <c r="G3" s="19"/>
      <c r="H3" s="48"/>
      <c r="I3" s="55"/>
    </row>
    <row r="4" spans="1:9" ht="12.75">
      <c r="A4" s="5" t="s">
        <v>2</v>
      </c>
      <c r="B4" s="19"/>
      <c r="C4" s="16" t="str">
        <f>'Stavební rozpočet'!D4</f>
        <v>Část ZTI</v>
      </c>
      <c r="D4" s="19"/>
      <c r="E4" s="16" t="s">
        <v>393</v>
      </c>
      <c r="F4" s="16" t="str">
        <f>'Stavební rozpočet'!J4</f>
        <v>INTER ART PROJEKT s.r.o.</v>
      </c>
      <c r="G4" s="19"/>
      <c r="H4" s="48"/>
      <c r="I4" s="55"/>
    </row>
    <row r="5" spans="1:9" ht="12.75">
      <c r="A5" s="4"/>
      <c r="B5" s="19"/>
      <c r="C5" s="19"/>
      <c r="D5" s="19"/>
      <c r="E5" s="19"/>
      <c r="F5" s="19"/>
      <c r="G5" s="19"/>
      <c r="H5" s="48"/>
      <c r="I5" s="55"/>
    </row>
    <row r="6" spans="1:9" ht="12.75">
      <c r="A6" s="5" t="s">
        <v>3</v>
      </c>
      <c r="B6" s="19"/>
      <c r="C6" s="16" t="str">
        <f>'Stavební rozpočet'!D6</f>
        <v>Litvínov</v>
      </c>
      <c r="D6" s="19"/>
      <c r="E6" s="16" t="s">
        <v>394</v>
      </c>
      <c r="F6" s="16" t="str">
        <f>'Stavební rozpočet'!J6</f>
        <v>výběrové řízení</v>
      </c>
      <c r="G6" s="19"/>
      <c r="H6" s="48"/>
      <c r="I6" s="55"/>
    </row>
    <row r="7" spans="1:9" ht="12.75">
      <c r="A7" s="4"/>
      <c r="B7" s="19"/>
      <c r="C7" s="19"/>
      <c r="D7" s="19"/>
      <c r="E7" s="19"/>
      <c r="F7" s="19"/>
      <c r="G7" s="19"/>
      <c r="H7" s="48"/>
      <c r="I7" s="55"/>
    </row>
    <row r="8" spans="1:9" ht="12.75">
      <c r="A8" s="5" t="s">
        <v>395</v>
      </c>
      <c r="B8" s="19"/>
      <c r="C8" s="16" t="str">
        <f>'Stavební rozpočet'!J8</f>
        <v>Šefl</v>
      </c>
      <c r="D8" s="19"/>
      <c r="E8" s="16" t="s">
        <v>372</v>
      </c>
      <c r="F8" s="16" t="str">
        <f>'Stavební rozpočet'!G8</f>
        <v>18.04.2018</v>
      </c>
      <c r="G8" s="19"/>
      <c r="H8" s="48"/>
      <c r="I8" s="55"/>
    </row>
    <row r="9" spans="1:9" ht="12.75">
      <c r="A9" s="6"/>
      <c r="B9" s="20"/>
      <c r="C9" s="20"/>
      <c r="D9" s="20"/>
      <c r="E9" s="20"/>
      <c r="F9" s="20"/>
      <c r="G9" s="20"/>
      <c r="H9" s="49"/>
      <c r="I9" s="55"/>
    </row>
    <row r="10" spans="1:9" ht="12.75">
      <c r="A10" s="64" t="s">
        <v>5</v>
      </c>
      <c r="B10" s="65" t="s">
        <v>122</v>
      </c>
      <c r="C10" s="65" t="s">
        <v>123</v>
      </c>
      <c r="D10" s="72" t="s">
        <v>248</v>
      </c>
      <c r="E10" s="73"/>
      <c r="F10" s="65" t="s">
        <v>373</v>
      </c>
      <c r="G10" s="77" t="s">
        <v>382</v>
      </c>
      <c r="H10" s="62" t="s">
        <v>474</v>
      </c>
      <c r="I10" s="56"/>
    </row>
    <row r="11" spans="1:8" ht="12.75">
      <c r="A11" s="71" t="s">
        <v>7</v>
      </c>
      <c r="B11" s="71"/>
      <c r="C11" s="71" t="s">
        <v>124</v>
      </c>
      <c r="D11" s="71" t="s">
        <v>251</v>
      </c>
      <c r="E11" s="74"/>
      <c r="F11" s="71" t="s">
        <v>374</v>
      </c>
      <c r="G11" s="78">
        <v>44.55</v>
      </c>
      <c r="H11" s="79" t="s">
        <v>404</v>
      </c>
    </row>
    <row r="12" spans="1:7" ht="12.75">
      <c r="A12" s="10"/>
      <c r="B12" s="10"/>
      <c r="C12" s="10"/>
      <c r="D12" s="10" t="s">
        <v>442</v>
      </c>
      <c r="E12" s="75"/>
      <c r="F12" s="10"/>
      <c r="G12" s="31">
        <v>44.55</v>
      </c>
    </row>
    <row r="13" spans="1:8" ht="12.75">
      <c r="A13" s="10" t="s">
        <v>8</v>
      </c>
      <c r="B13" s="10"/>
      <c r="C13" s="10" t="s">
        <v>125</v>
      </c>
      <c r="D13" s="10" t="s">
        <v>253</v>
      </c>
      <c r="E13" s="75"/>
      <c r="F13" s="10" t="s">
        <v>375</v>
      </c>
      <c r="G13" s="31">
        <v>6</v>
      </c>
      <c r="H13" s="52" t="s">
        <v>405</v>
      </c>
    </row>
    <row r="14" spans="1:7" ht="12.75">
      <c r="A14" s="10"/>
      <c r="B14" s="10"/>
      <c r="C14" s="10"/>
      <c r="D14" s="10" t="s">
        <v>12</v>
      </c>
      <c r="E14" s="75"/>
      <c r="F14" s="10"/>
      <c r="G14" s="31">
        <v>6</v>
      </c>
    </row>
    <row r="15" spans="1:8" ht="12.75">
      <c r="A15" s="10" t="s">
        <v>9</v>
      </c>
      <c r="B15" s="10"/>
      <c r="C15" s="10" t="s">
        <v>126</v>
      </c>
      <c r="D15" s="10" t="s">
        <v>255</v>
      </c>
      <c r="E15" s="75"/>
      <c r="F15" s="10" t="s">
        <v>374</v>
      </c>
      <c r="G15" s="31">
        <v>44.55</v>
      </c>
      <c r="H15" s="52" t="s">
        <v>405</v>
      </c>
    </row>
    <row r="16" spans="1:7" ht="12.75">
      <c r="A16" s="10"/>
      <c r="B16" s="10"/>
      <c r="C16" s="10"/>
      <c r="D16" s="10" t="s">
        <v>442</v>
      </c>
      <c r="E16" s="75"/>
      <c r="F16" s="10"/>
      <c r="G16" s="31">
        <v>44.55</v>
      </c>
    </row>
    <row r="17" spans="1:8" ht="12.75">
      <c r="A17" s="10" t="s">
        <v>10</v>
      </c>
      <c r="B17" s="10"/>
      <c r="C17" s="10" t="s">
        <v>128</v>
      </c>
      <c r="D17" s="10" t="s">
        <v>257</v>
      </c>
      <c r="E17" s="75"/>
      <c r="F17" s="10" t="s">
        <v>375</v>
      </c>
      <c r="G17" s="31">
        <v>5</v>
      </c>
      <c r="H17" s="52" t="s">
        <v>405</v>
      </c>
    </row>
    <row r="18" spans="1:8" ht="12.75">
      <c r="A18" s="10" t="s">
        <v>11</v>
      </c>
      <c r="B18" s="10"/>
      <c r="C18" s="10" t="s">
        <v>129</v>
      </c>
      <c r="D18" s="10" t="s">
        <v>258</v>
      </c>
      <c r="E18" s="75"/>
      <c r="F18" s="10" t="s">
        <v>375</v>
      </c>
      <c r="G18" s="31">
        <v>4</v>
      </c>
      <c r="H18" s="52" t="s">
        <v>405</v>
      </c>
    </row>
    <row r="19" spans="1:8" ht="12.75">
      <c r="A19" s="10" t="s">
        <v>12</v>
      </c>
      <c r="B19" s="10"/>
      <c r="C19" s="10" t="s">
        <v>130</v>
      </c>
      <c r="D19" s="10" t="s">
        <v>259</v>
      </c>
      <c r="E19" s="75"/>
      <c r="F19" s="10" t="s">
        <v>375</v>
      </c>
      <c r="G19" s="31">
        <v>8</v>
      </c>
      <c r="H19" s="52" t="s">
        <v>405</v>
      </c>
    </row>
    <row r="20" spans="1:7" ht="12.75">
      <c r="A20" s="10"/>
      <c r="B20" s="10"/>
      <c r="C20" s="10"/>
      <c r="D20" s="10" t="s">
        <v>443</v>
      </c>
      <c r="E20" s="75"/>
      <c r="F20" s="10"/>
      <c r="G20" s="31">
        <v>8</v>
      </c>
    </row>
    <row r="21" spans="1:8" ht="12.75">
      <c r="A21" s="10" t="s">
        <v>13</v>
      </c>
      <c r="B21" s="10"/>
      <c r="C21" s="10" t="s">
        <v>131</v>
      </c>
      <c r="D21" s="10" t="s">
        <v>260</v>
      </c>
      <c r="E21" s="75"/>
      <c r="F21" s="10" t="s">
        <v>376</v>
      </c>
      <c r="G21" s="31">
        <v>20</v>
      </c>
      <c r="H21" s="52" t="s">
        <v>405</v>
      </c>
    </row>
    <row r="22" spans="1:8" ht="12.75">
      <c r="A22" s="10" t="s">
        <v>14</v>
      </c>
      <c r="B22" s="10"/>
      <c r="C22" s="10" t="s">
        <v>132</v>
      </c>
      <c r="D22" s="10" t="s">
        <v>261</v>
      </c>
      <c r="E22" s="75"/>
      <c r="F22" s="10" t="s">
        <v>376</v>
      </c>
      <c r="G22" s="31">
        <v>25</v>
      </c>
      <c r="H22" s="52" t="s">
        <v>405</v>
      </c>
    </row>
    <row r="23" spans="1:7" ht="12.75">
      <c r="A23" s="10"/>
      <c r="B23" s="10"/>
      <c r="C23" s="10"/>
      <c r="D23" s="10" t="s">
        <v>31</v>
      </c>
      <c r="E23" s="75"/>
      <c r="F23" s="10"/>
      <c r="G23" s="31">
        <v>25</v>
      </c>
    </row>
    <row r="24" spans="1:8" ht="12.75">
      <c r="A24" s="10" t="s">
        <v>15</v>
      </c>
      <c r="B24" s="10"/>
      <c r="C24" s="10" t="s">
        <v>133</v>
      </c>
      <c r="D24" s="10" t="s">
        <v>262</v>
      </c>
      <c r="E24" s="75"/>
      <c r="F24" s="10" t="s">
        <v>376</v>
      </c>
      <c r="G24" s="31">
        <v>10</v>
      </c>
      <c r="H24" s="52" t="s">
        <v>405</v>
      </c>
    </row>
    <row r="25" spans="1:7" ht="12.75">
      <c r="A25" s="10"/>
      <c r="B25" s="10"/>
      <c r="C25" s="10"/>
      <c r="D25" s="10" t="s">
        <v>16</v>
      </c>
      <c r="E25" s="75"/>
      <c r="F25" s="10"/>
      <c r="G25" s="31">
        <v>10</v>
      </c>
    </row>
    <row r="26" spans="1:8" ht="12.75">
      <c r="A26" s="10" t="s">
        <v>16</v>
      </c>
      <c r="B26" s="10"/>
      <c r="C26" s="10" t="s">
        <v>134</v>
      </c>
      <c r="D26" s="10" t="s">
        <v>263</v>
      </c>
      <c r="E26" s="75"/>
      <c r="F26" s="10" t="s">
        <v>376</v>
      </c>
      <c r="G26" s="31">
        <v>25</v>
      </c>
      <c r="H26" s="52" t="s">
        <v>405</v>
      </c>
    </row>
    <row r="27" spans="1:7" ht="12.75">
      <c r="A27" s="10"/>
      <c r="B27" s="10"/>
      <c r="C27" s="10"/>
      <c r="D27" s="10" t="s">
        <v>31</v>
      </c>
      <c r="E27" s="75"/>
      <c r="F27" s="10"/>
      <c r="G27" s="31">
        <v>25</v>
      </c>
    </row>
    <row r="28" spans="1:8" ht="12.75">
      <c r="A28" s="10" t="s">
        <v>17</v>
      </c>
      <c r="B28" s="10"/>
      <c r="C28" s="10" t="s">
        <v>135</v>
      </c>
      <c r="D28" s="10" t="s">
        <v>264</v>
      </c>
      <c r="E28" s="75"/>
      <c r="F28" s="10" t="s">
        <v>376</v>
      </c>
      <c r="G28" s="31">
        <v>25</v>
      </c>
      <c r="H28" s="52" t="s">
        <v>405</v>
      </c>
    </row>
    <row r="29" spans="1:8" ht="12.75">
      <c r="A29" s="10" t="s">
        <v>18</v>
      </c>
      <c r="B29" s="10"/>
      <c r="C29" s="10" t="s">
        <v>136</v>
      </c>
      <c r="D29" s="10" t="s">
        <v>265</v>
      </c>
      <c r="E29" s="75"/>
      <c r="F29" s="10" t="s">
        <v>376</v>
      </c>
      <c r="G29" s="31">
        <v>18</v>
      </c>
      <c r="H29" s="52" t="s">
        <v>405</v>
      </c>
    </row>
    <row r="30" spans="1:8" ht="12.75">
      <c r="A30" s="10" t="s">
        <v>19</v>
      </c>
      <c r="B30" s="10"/>
      <c r="C30" s="10" t="s">
        <v>137</v>
      </c>
      <c r="D30" s="10" t="s">
        <v>266</v>
      </c>
      <c r="E30" s="75"/>
      <c r="F30" s="10" t="s">
        <v>376</v>
      </c>
      <c r="G30" s="31">
        <v>30</v>
      </c>
      <c r="H30" s="52" t="s">
        <v>405</v>
      </c>
    </row>
    <row r="31" spans="1:7" ht="12.75">
      <c r="A31" s="10"/>
      <c r="B31" s="10"/>
      <c r="C31" s="10"/>
      <c r="D31" s="10" t="s">
        <v>36</v>
      </c>
      <c r="E31" s="75"/>
      <c r="F31" s="10"/>
      <c r="G31" s="31">
        <v>30</v>
      </c>
    </row>
    <row r="32" spans="1:8" ht="12.75">
      <c r="A32" s="10" t="s">
        <v>20</v>
      </c>
      <c r="B32" s="10"/>
      <c r="C32" s="10" t="s">
        <v>138</v>
      </c>
      <c r="D32" s="10" t="s">
        <v>267</v>
      </c>
      <c r="E32" s="75"/>
      <c r="F32" s="10" t="s">
        <v>376</v>
      </c>
      <c r="G32" s="31">
        <v>29</v>
      </c>
      <c r="H32" s="52" t="s">
        <v>405</v>
      </c>
    </row>
    <row r="33" spans="1:7" ht="12.75">
      <c r="A33" s="10"/>
      <c r="B33" s="10"/>
      <c r="C33" s="10"/>
      <c r="D33" s="10" t="s">
        <v>444</v>
      </c>
      <c r="E33" s="75"/>
      <c r="F33" s="10"/>
      <c r="G33" s="31">
        <v>29</v>
      </c>
    </row>
    <row r="34" spans="1:8" ht="12.75">
      <c r="A34" s="10" t="s">
        <v>21</v>
      </c>
      <c r="B34" s="10"/>
      <c r="C34" s="10" t="s">
        <v>139</v>
      </c>
      <c r="D34" s="10" t="s">
        <v>268</v>
      </c>
      <c r="E34" s="75"/>
      <c r="F34" s="10" t="s">
        <v>376</v>
      </c>
      <c r="G34" s="31">
        <v>15</v>
      </c>
      <c r="H34" s="52" t="s">
        <v>405</v>
      </c>
    </row>
    <row r="35" spans="1:7" ht="12.75">
      <c r="A35" s="10"/>
      <c r="B35" s="10"/>
      <c r="C35" s="10"/>
      <c r="D35" s="10" t="s">
        <v>21</v>
      </c>
      <c r="E35" s="75"/>
      <c r="F35" s="10"/>
      <c r="G35" s="31">
        <v>15</v>
      </c>
    </row>
    <row r="36" spans="1:8" ht="12.75">
      <c r="A36" s="10" t="s">
        <v>22</v>
      </c>
      <c r="B36" s="10"/>
      <c r="C36" s="10" t="s">
        <v>140</v>
      </c>
      <c r="D36" s="10" t="s">
        <v>269</v>
      </c>
      <c r="E36" s="75"/>
      <c r="F36" s="10" t="s">
        <v>376</v>
      </c>
      <c r="G36" s="31">
        <v>15</v>
      </c>
      <c r="H36" s="52" t="s">
        <v>405</v>
      </c>
    </row>
    <row r="37" spans="1:8" ht="12.75">
      <c r="A37" s="10" t="s">
        <v>23</v>
      </c>
      <c r="B37" s="10"/>
      <c r="C37" s="10" t="s">
        <v>141</v>
      </c>
      <c r="D37" s="10" t="s">
        <v>270</v>
      </c>
      <c r="E37" s="75"/>
      <c r="F37" s="10" t="s">
        <v>376</v>
      </c>
      <c r="G37" s="31">
        <v>11</v>
      </c>
      <c r="H37" s="52" t="s">
        <v>405</v>
      </c>
    </row>
    <row r="38" spans="1:8" ht="12.75">
      <c r="A38" s="10" t="s">
        <v>24</v>
      </c>
      <c r="B38" s="10"/>
      <c r="C38" s="10" t="s">
        <v>142</v>
      </c>
      <c r="D38" s="10" t="s">
        <v>271</v>
      </c>
      <c r="E38" s="75"/>
      <c r="F38" s="10" t="s">
        <v>376</v>
      </c>
      <c r="G38" s="31">
        <v>6</v>
      </c>
      <c r="H38" s="52" t="s">
        <v>405</v>
      </c>
    </row>
    <row r="39" spans="1:7" ht="12.75">
      <c r="A39" s="10"/>
      <c r="B39" s="10"/>
      <c r="C39" s="10"/>
      <c r="D39" s="10" t="s">
        <v>12</v>
      </c>
      <c r="E39" s="75"/>
      <c r="F39" s="10"/>
      <c r="G39" s="31">
        <v>6</v>
      </c>
    </row>
    <row r="40" spans="1:8" ht="12.75">
      <c r="A40" s="10" t="s">
        <v>25</v>
      </c>
      <c r="B40" s="10"/>
      <c r="C40" s="10" t="s">
        <v>143</v>
      </c>
      <c r="D40" s="10" t="s">
        <v>272</v>
      </c>
      <c r="E40" s="75"/>
      <c r="F40" s="10" t="s">
        <v>375</v>
      </c>
      <c r="G40" s="31">
        <v>25</v>
      </c>
      <c r="H40" s="52" t="s">
        <v>405</v>
      </c>
    </row>
    <row r="41" spans="1:7" ht="12.75">
      <c r="A41" s="10"/>
      <c r="B41" s="10"/>
      <c r="C41" s="10"/>
      <c r="D41" s="10" t="s">
        <v>31</v>
      </c>
      <c r="E41" s="75"/>
      <c r="F41" s="10"/>
      <c r="G41" s="31">
        <v>25</v>
      </c>
    </row>
    <row r="42" spans="1:8" ht="12.75">
      <c r="A42" s="10" t="s">
        <v>26</v>
      </c>
      <c r="B42" s="10"/>
      <c r="C42" s="10" t="s">
        <v>144</v>
      </c>
      <c r="D42" s="10" t="s">
        <v>273</v>
      </c>
      <c r="E42" s="75"/>
      <c r="F42" s="10" t="s">
        <v>375</v>
      </c>
      <c r="G42" s="31">
        <v>4</v>
      </c>
      <c r="H42" s="52" t="s">
        <v>405</v>
      </c>
    </row>
    <row r="43" spans="1:7" ht="12.75">
      <c r="A43" s="10"/>
      <c r="B43" s="10"/>
      <c r="C43" s="10"/>
      <c r="D43" s="10" t="s">
        <v>10</v>
      </c>
      <c r="E43" s="75"/>
      <c r="F43" s="10"/>
      <c r="G43" s="31">
        <v>4</v>
      </c>
    </row>
    <row r="44" spans="1:8" ht="12.75">
      <c r="A44" s="10" t="s">
        <v>27</v>
      </c>
      <c r="B44" s="10"/>
      <c r="C44" s="10" t="s">
        <v>145</v>
      </c>
      <c r="D44" s="10" t="s">
        <v>274</v>
      </c>
      <c r="E44" s="75"/>
      <c r="F44" s="10" t="s">
        <v>375</v>
      </c>
      <c r="G44" s="31">
        <v>2</v>
      </c>
      <c r="H44" s="52" t="s">
        <v>405</v>
      </c>
    </row>
    <row r="45" spans="1:8" ht="12.75">
      <c r="A45" s="10" t="s">
        <v>28</v>
      </c>
      <c r="B45" s="10"/>
      <c r="C45" s="10" t="s">
        <v>146</v>
      </c>
      <c r="D45" s="10" t="s">
        <v>275</v>
      </c>
      <c r="E45" s="75"/>
      <c r="F45" s="10" t="s">
        <v>375</v>
      </c>
      <c r="G45" s="31">
        <v>22</v>
      </c>
      <c r="H45" s="52" t="s">
        <v>405</v>
      </c>
    </row>
    <row r="46" spans="1:7" ht="12.75">
      <c r="A46" s="10"/>
      <c r="B46" s="10"/>
      <c r="C46" s="10"/>
      <c r="D46" s="10" t="s">
        <v>28</v>
      </c>
      <c r="E46" s="75"/>
      <c r="F46" s="10"/>
      <c r="G46" s="31">
        <v>22</v>
      </c>
    </row>
    <row r="47" spans="1:8" ht="12.75">
      <c r="A47" s="10" t="s">
        <v>29</v>
      </c>
      <c r="B47" s="10"/>
      <c r="C47" s="10" t="s">
        <v>147</v>
      </c>
      <c r="D47" s="10" t="s">
        <v>276</v>
      </c>
      <c r="E47" s="75"/>
      <c r="F47" s="10" t="s">
        <v>375</v>
      </c>
      <c r="G47" s="31">
        <v>1</v>
      </c>
      <c r="H47" s="52" t="s">
        <v>405</v>
      </c>
    </row>
    <row r="48" spans="1:8" ht="12.75">
      <c r="A48" s="10" t="s">
        <v>30</v>
      </c>
      <c r="B48" s="10"/>
      <c r="C48" s="10" t="s">
        <v>148</v>
      </c>
      <c r="D48" s="10" t="s">
        <v>277</v>
      </c>
      <c r="E48" s="75"/>
      <c r="F48" s="10" t="s">
        <v>375</v>
      </c>
      <c r="G48" s="31">
        <v>1</v>
      </c>
      <c r="H48" s="52" t="s">
        <v>405</v>
      </c>
    </row>
    <row r="49" spans="1:8" ht="12.75">
      <c r="A49" s="10" t="s">
        <v>31</v>
      </c>
      <c r="B49" s="10"/>
      <c r="C49" s="10" t="s">
        <v>149</v>
      </c>
      <c r="D49" s="10" t="s">
        <v>278</v>
      </c>
      <c r="E49" s="75"/>
      <c r="F49" s="10" t="s">
        <v>375</v>
      </c>
      <c r="G49" s="31">
        <v>3</v>
      </c>
      <c r="H49" s="52" t="s">
        <v>405</v>
      </c>
    </row>
    <row r="50" spans="1:8" ht="12.75">
      <c r="A50" s="10" t="s">
        <v>32</v>
      </c>
      <c r="B50" s="10"/>
      <c r="C50" s="10" t="s">
        <v>150</v>
      </c>
      <c r="D50" s="10" t="s">
        <v>279</v>
      </c>
      <c r="E50" s="75"/>
      <c r="F50" s="10" t="s">
        <v>376</v>
      </c>
      <c r="G50" s="31">
        <v>184</v>
      </c>
      <c r="H50" s="52" t="s">
        <v>405</v>
      </c>
    </row>
    <row r="51" spans="1:7" ht="12.75">
      <c r="A51" s="10"/>
      <c r="B51" s="10"/>
      <c r="C51" s="10"/>
      <c r="D51" s="10" t="s">
        <v>445</v>
      </c>
      <c r="E51" s="75"/>
      <c r="F51" s="10"/>
      <c r="G51" s="31">
        <v>184</v>
      </c>
    </row>
    <row r="52" spans="1:8" ht="12.75">
      <c r="A52" s="10" t="s">
        <v>33</v>
      </c>
      <c r="B52" s="10"/>
      <c r="C52" s="10" t="s">
        <v>151</v>
      </c>
      <c r="D52" s="10" t="s">
        <v>280</v>
      </c>
      <c r="E52" s="75"/>
      <c r="F52" s="10" t="s">
        <v>377</v>
      </c>
      <c r="G52" s="31">
        <v>4.2027</v>
      </c>
      <c r="H52" s="52" t="s">
        <v>405</v>
      </c>
    </row>
    <row r="53" spans="1:7" ht="12.75">
      <c r="A53" s="10"/>
      <c r="B53" s="10"/>
      <c r="C53" s="10"/>
      <c r="D53" s="10" t="s">
        <v>446</v>
      </c>
      <c r="E53" s="75"/>
      <c r="F53" s="10"/>
      <c r="G53" s="31">
        <v>4.2027</v>
      </c>
    </row>
    <row r="54" spans="1:8" ht="12.75">
      <c r="A54" s="10" t="s">
        <v>34</v>
      </c>
      <c r="B54" s="10"/>
      <c r="C54" s="10" t="s">
        <v>152</v>
      </c>
      <c r="D54" s="10" t="s">
        <v>281</v>
      </c>
      <c r="E54" s="75"/>
      <c r="F54" s="10" t="s">
        <v>376</v>
      </c>
      <c r="G54" s="31">
        <v>183</v>
      </c>
      <c r="H54" s="52" t="s">
        <v>405</v>
      </c>
    </row>
    <row r="55" spans="1:7" ht="12.75">
      <c r="A55" s="10"/>
      <c r="B55" s="10"/>
      <c r="C55" s="10"/>
      <c r="D55" s="10" t="s">
        <v>447</v>
      </c>
      <c r="E55" s="75"/>
      <c r="F55" s="10"/>
      <c r="G55" s="31">
        <v>183</v>
      </c>
    </row>
    <row r="56" spans="1:8" ht="12.75">
      <c r="A56" s="10" t="s">
        <v>35</v>
      </c>
      <c r="B56" s="10"/>
      <c r="C56" s="10" t="s">
        <v>153</v>
      </c>
      <c r="D56" s="10" t="s">
        <v>282</v>
      </c>
      <c r="E56" s="75"/>
      <c r="F56" s="10" t="s">
        <v>376</v>
      </c>
      <c r="G56" s="31">
        <v>46</v>
      </c>
      <c r="H56" s="52" t="s">
        <v>405</v>
      </c>
    </row>
    <row r="57" spans="1:7" ht="12.75">
      <c r="A57" s="10"/>
      <c r="B57" s="10"/>
      <c r="C57" s="10"/>
      <c r="D57" s="10" t="s">
        <v>448</v>
      </c>
      <c r="E57" s="75"/>
      <c r="F57" s="10"/>
      <c r="G57" s="31">
        <v>46</v>
      </c>
    </row>
    <row r="58" spans="1:8" ht="12.75">
      <c r="A58" s="10" t="s">
        <v>36</v>
      </c>
      <c r="B58" s="10"/>
      <c r="C58" s="10" t="s">
        <v>155</v>
      </c>
      <c r="D58" s="10" t="s">
        <v>284</v>
      </c>
      <c r="E58" s="75"/>
      <c r="F58" s="10" t="s">
        <v>376</v>
      </c>
      <c r="G58" s="31">
        <v>67</v>
      </c>
      <c r="H58" s="52" t="s">
        <v>405</v>
      </c>
    </row>
    <row r="59" spans="1:7" ht="12.75">
      <c r="A59" s="10"/>
      <c r="B59" s="10"/>
      <c r="C59" s="10"/>
      <c r="D59" s="10" t="s">
        <v>449</v>
      </c>
      <c r="E59" s="75"/>
      <c r="F59" s="10"/>
      <c r="G59" s="31">
        <v>67</v>
      </c>
    </row>
    <row r="60" spans="1:8" ht="12.75">
      <c r="A60" s="10" t="s">
        <v>37</v>
      </c>
      <c r="B60" s="10"/>
      <c r="C60" s="10" t="s">
        <v>156</v>
      </c>
      <c r="D60" s="10" t="s">
        <v>285</v>
      </c>
      <c r="E60" s="75"/>
      <c r="F60" s="10" t="s">
        <v>376</v>
      </c>
      <c r="G60" s="31">
        <v>50</v>
      </c>
      <c r="H60" s="52" t="s">
        <v>405</v>
      </c>
    </row>
    <row r="61" spans="1:7" ht="12.75">
      <c r="A61" s="10"/>
      <c r="B61" s="10"/>
      <c r="C61" s="10"/>
      <c r="D61" s="10" t="s">
        <v>450</v>
      </c>
      <c r="E61" s="75"/>
      <c r="F61" s="10"/>
      <c r="G61" s="31">
        <v>50</v>
      </c>
    </row>
    <row r="62" spans="1:8" ht="12.75">
      <c r="A62" s="10" t="s">
        <v>38</v>
      </c>
      <c r="B62" s="10"/>
      <c r="C62" s="10" t="s">
        <v>157</v>
      </c>
      <c r="D62" s="10" t="s">
        <v>286</v>
      </c>
      <c r="E62" s="75"/>
      <c r="F62" s="10" t="s">
        <v>376</v>
      </c>
      <c r="G62" s="31">
        <v>50.5</v>
      </c>
      <c r="H62" s="52" t="s">
        <v>405</v>
      </c>
    </row>
    <row r="63" spans="1:7" ht="12.75">
      <c r="A63" s="10"/>
      <c r="B63" s="10"/>
      <c r="C63" s="10"/>
      <c r="D63" s="10" t="s">
        <v>451</v>
      </c>
      <c r="E63" s="75"/>
      <c r="F63" s="10"/>
      <c r="G63" s="31">
        <v>50.5</v>
      </c>
    </row>
    <row r="64" spans="1:8" ht="12.75">
      <c r="A64" s="10" t="s">
        <v>39</v>
      </c>
      <c r="B64" s="10"/>
      <c r="C64" s="10" t="s">
        <v>158</v>
      </c>
      <c r="D64" s="10" t="s">
        <v>287</v>
      </c>
      <c r="E64" s="75"/>
      <c r="F64" s="10" t="s">
        <v>376</v>
      </c>
      <c r="G64" s="31">
        <v>28</v>
      </c>
      <c r="H64" s="52" t="s">
        <v>405</v>
      </c>
    </row>
    <row r="65" spans="1:7" ht="12.75">
      <c r="A65" s="10"/>
      <c r="B65" s="10"/>
      <c r="C65" s="10"/>
      <c r="D65" s="10" t="s">
        <v>452</v>
      </c>
      <c r="E65" s="75"/>
      <c r="F65" s="10"/>
      <c r="G65" s="31">
        <v>28</v>
      </c>
    </row>
    <row r="66" spans="1:8" ht="12.75">
      <c r="A66" s="10" t="s">
        <v>40</v>
      </c>
      <c r="B66" s="10"/>
      <c r="C66" s="10" t="s">
        <v>159</v>
      </c>
      <c r="D66" s="10" t="s">
        <v>288</v>
      </c>
      <c r="E66" s="75"/>
      <c r="F66" s="10" t="s">
        <v>376</v>
      </c>
      <c r="G66" s="31">
        <v>26</v>
      </c>
      <c r="H66" s="52" t="s">
        <v>405</v>
      </c>
    </row>
    <row r="67" spans="1:7" ht="12.75">
      <c r="A67" s="10"/>
      <c r="B67" s="10"/>
      <c r="C67" s="10"/>
      <c r="D67" s="10" t="s">
        <v>453</v>
      </c>
      <c r="E67" s="75"/>
      <c r="F67" s="10"/>
      <c r="G67" s="31">
        <v>26</v>
      </c>
    </row>
    <row r="68" spans="1:8" ht="12.75">
      <c r="A68" s="10" t="s">
        <v>41</v>
      </c>
      <c r="B68" s="10"/>
      <c r="C68" s="10" t="s">
        <v>160</v>
      </c>
      <c r="D68" s="10" t="s">
        <v>289</v>
      </c>
      <c r="E68" s="75"/>
      <c r="F68" s="10" t="s">
        <v>376</v>
      </c>
      <c r="G68" s="31">
        <v>105.5</v>
      </c>
      <c r="H68" s="52" t="s">
        <v>405</v>
      </c>
    </row>
    <row r="69" spans="1:7" ht="12.75">
      <c r="A69" s="10"/>
      <c r="B69" s="10"/>
      <c r="C69" s="10"/>
      <c r="D69" s="10" t="s">
        <v>454</v>
      </c>
      <c r="E69" s="75"/>
      <c r="F69" s="10"/>
      <c r="G69" s="31">
        <v>105.5</v>
      </c>
    </row>
    <row r="70" spans="1:8" ht="12.75">
      <c r="A70" s="10" t="s">
        <v>42</v>
      </c>
      <c r="B70" s="10"/>
      <c r="C70" s="10" t="s">
        <v>161</v>
      </c>
      <c r="D70" s="10" t="s">
        <v>290</v>
      </c>
      <c r="E70" s="75"/>
      <c r="F70" s="10" t="s">
        <v>376</v>
      </c>
      <c r="G70" s="31">
        <v>43</v>
      </c>
      <c r="H70" s="52" t="s">
        <v>405</v>
      </c>
    </row>
    <row r="71" spans="1:7" ht="12.75">
      <c r="A71" s="10"/>
      <c r="B71" s="10"/>
      <c r="C71" s="10"/>
      <c r="D71" s="10" t="s">
        <v>455</v>
      </c>
      <c r="E71" s="75"/>
      <c r="F71" s="10"/>
      <c r="G71" s="31">
        <v>43</v>
      </c>
    </row>
    <row r="72" spans="1:8" ht="12.75">
      <c r="A72" s="10" t="s">
        <v>43</v>
      </c>
      <c r="B72" s="10"/>
      <c r="C72" s="10" t="s">
        <v>162</v>
      </c>
      <c r="D72" s="10" t="s">
        <v>291</v>
      </c>
      <c r="E72" s="75"/>
      <c r="F72" s="10" t="s">
        <v>376</v>
      </c>
      <c r="G72" s="31">
        <v>31</v>
      </c>
      <c r="H72" s="52" t="s">
        <v>405</v>
      </c>
    </row>
    <row r="73" spans="1:7" ht="12.75">
      <c r="A73" s="10"/>
      <c r="B73" s="10"/>
      <c r="C73" s="10"/>
      <c r="D73" s="10" t="s">
        <v>456</v>
      </c>
      <c r="E73" s="75"/>
      <c r="F73" s="10"/>
      <c r="G73" s="31">
        <v>31</v>
      </c>
    </row>
    <row r="74" spans="1:8" ht="12.75">
      <c r="A74" s="10" t="s">
        <v>44</v>
      </c>
      <c r="B74" s="10"/>
      <c r="C74" s="10" t="s">
        <v>163</v>
      </c>
      <c r="D74" s="10" t="s">
        <v>292</v>
      </c>
      <c r="E74" s="75"/>
      <c r="F74" s="10" t="s">
        <v>376</v>
      </c>
      <c r="G74" s="31">
        <v>37</v>
      </c>
      <c r="H74" s="52" t="s">
        <v>405</v>
      </c>
    </row>
    <row r="75" spans="1:7" ht="12.75">
      <c r="A75" s="10"/>
      <c r="B75" s="10"/>
      <c r="C75" s="10"/>
      <c r="D75" s="10" t="s">
        <v>457</v>
      </c>
      <c r="E75" s="75"/>
      <c r="F75" s="10"/>
      <c r="G75" s="31">
        <v>37</v>
      </c>
    </row>
    <row r="76" spans="1:8" ht="12.75">
      <c r="A76" s="10" t="s">
        <v>45</v>
      </c>
      <c r="B76" s="10"/>
      <c r="C76" s="10" t="s">
        <v>164</v>
      </c>
      <c r="D76" s="10" t="s">
        <v>293</v>
      </c>
      <c r="E76" s="75"/>
      <c r="F76" s="10" t="s">
        <v>376</v>
      </c>
      <c r="G76" s="31">
        <v>18</v>
      </c>
      <c r="H76" s="52" t="s">
        <v>405</v>
      </c>
    </row>
    <row r="77" spans="1:7" ht="12.75">
      <c r="A77" s="10"/>
      <c r="B77" s="10"/>
      <c r="C77" s="10"/>
      <c r="D77" s="10" t="s">
        <v>458</v>
      </c>
      <c r="E77" s="75"/>
      <c r="F77" s="10"/>
      <c r="G77" s="31">
        <v>18</v>
      </c>
    </row>
    <row r="78" spans="1:8" ht="12.75">
      <c r="A78" s="10" t="s">
        <v>46</v>
      </c>
      <c r="B78" s="10"/>
      <c r="C78" s="10" t="s">
        <v>165</v>
      </c>
      <c r="D78" s="10" t="s">
        <v>294</v>
      </c>
      <c r="E78" s="75"/>
      <c r="F78" s="10" t="s">
        <v>375</v>
      </c>
      <c r="G78" s="31">
        <v>2</v>
      </c>
      <c r="H78" s="52" t="s">
        <v>405</v>
      </c>
    </row>
    <row r="79" spans="1:8" ht="12.75">
      <c r="A79" s="10" t="s">
        <v>47</v>
      </c>
      <c r="B79" s="10"/>
      <c r="C79" s="10" t="s">
        <v>166</v>
      </c>
      <c r="D79" s="10" t="s">
        <v>295</v>
      </c>
      <c r="E79" s="75"/>
      <c r="F79" s="10" t="s">
        <v>375</v>
      </c>
      <c r="G79" s="31">
        <v>10</v>
      </c>
      <c r="H79" s="52" t="s">
        <v>405</v>
      </c>
    </row>
    <row r="80" spans="1:8" ht="12.75">
      <c r="A80" s="10" t="s">
        <v>48</v>
      </c>
      <c r="B80" s="10"/>
      <c r="C80" s="10" t="s">
        <v>167</v>
      </c>
      <c r="D80" s="10" t="s">
        <v>296</v>
      </c>
      <c r="E80" s="75"/>
      <c r="F80" s="10" t="s">
        <v>375</v>
      </c>
      <c r="G80" s="31">
        <v>10</v>
      </c>
      <c r="H80" s="52" t="s">
        <v>405</v>
      </c>
    </row>
    <row r="81" spans="1:8" ht="12.75">
      <c r="A81" s="10" t="s">
        <v>49</v>
      </c>
      <c r="B81" s="10"/>
      <c r="C81" s="10" t="s">
        <v>168</v>
      </c>
      <c r="D81" s="10" t="s">
        <v>297</v>
      </c>
      <c r="E81" s="75"/>
      <c r="F81" s="10" t="s">
        <v>375</v>
      </c>
      <c r="G81" s="31">
        <v>10</v>
      </c>
      <c r="H81" s="52" t="s">
        <v>405</v>
      </c>
    </row>
    <row r="82" spans="1:8" ht="12.75">
      <c r="A82" s="10" t="s">
        <v>50</v>
      </c>
      <c r="B82" s="10"/>
      <c r="C82" s="10" t="s">
        <v>169</v>
      </c>
      <c r="D82" s="10" t="s">
        <v>298</v>
      </c>
      <c r="E82" s="75"/>
      <c r="F82" s="10" t="s">
        <v>376</v>
      </c>
      <c r="G82" s="31">
        <v>67</v>
      </c>
      <c r="H82" s="52" t="s">
        <v>405</v>
      </c>
    </row>
    <row r="83" spans="1:8" ht="12.75">
      <c r="A83" s="10" t="s">
        <v>51</v>
      </c>
      <c r="B83" s="10"/>
      <c r="C83" s="10" t="s">
        <v>170</v>
      </c>
      <c r="D83" s="10" t="s">
        <v>298</v>
      </c>
      <c r="E83" s="75"/>
      <c r="F83" s="10" t="s">
        <v>376</v>
      </c>
      <c r="G83" s="31">
        <v>50</v>
      </c>
      <c r="H83" s="52" t="s">
        <v>405</v>
      </c>
    </row>
    <row r="84" spans="1:8" ht="12.75">
      <c r="A84" s="10" t="s">
        <v>52</v>
      </c>
      <c r="B84" s="10"/>
      <c r="C84" s="10" t="s">
        <v>171</v>
      </c>
      <c r="D84" s="10" t="s">
        <v>298</v>
      </c>
      <c r="E84" s="75"/>
      <c r="F84" s="10" t="s">
        <v>376</v>
      </c>
      <c r="G84" s="31">
        <v>50.5</v>
      </c>
      <c r="H84" s="52" t="s">
        <v>405</v>
      </c>
    </row>
    <row r="85" spans="1:8" ht="12.75">
      <c r="A85" s="10" t="s">
        <v>53</v>
      </c>
      <c r="B85" s="10"/>
      <c r="C85" s="10" t="s">
        <v>172</v>
      </c>
      <c r="D85" s="10" t="s">
        <v>298</v>
      </c>
      <c r="E85" s="75"/>
      <c r="F85" s="10" t="s">
        <v>376</v>
      </c>
      <c r="G85" s="31">
        <v>28</v>
      </c>
      <c r="H85" s="52" t="s">
        <v>405</v>
      </c>
    </row>
    <row r="86" spans="1:8" ht="12.75">
      <c r="A86" s="10" t="s">
        <v>54</v>
      </c>
      <c r="B86" s="10"/>
      <c r="C86" s="10" t="s">
        <v>173</v>
      </c>
      <c r="D86" s="10" t="s">
        <v>299</v>
      </c>
      <c r="E86" s="75"/>
      <c r="F86" s="10" t="s">
        <v>376</v>
      </c>
      <c r="G86" s="31">
        <v>26</v>
      </c>
      <c r="H86" s="52" t="s">
        <v>405</v>
      </c>
    </row>
    <row r="87" spans="1:8" ht="12.75">
      <c r="A87" s="10" t="s">
        <v>55</v>
      </c>
      <c r="B87" s="10"/>
      <c r="C87" s="10" t="s">
        <v>174</v>
      </c>
      <c r="D87" s="10" t="s">
        <v>300</v>
      </c>
      <c r="E87" s="75"/>
      <c r="F87" s="10" t="s">
        <v>376</v>
      </c>
      <c r="G87" s="31">
        <v>105.5</v>
      </c>
      <c r="H87" s="52" t="s">
        <v>405</v>
      </c>
    </row>
    <row r="88" spans="1:8" ht="12.75">
      <c r="A88" s="10" t="s">
        <v>56</v>
      </c>
      <c r="B88" s="10"/>
      <c r="C88" s="10" t="s">
        <v>175</v>
      </c>
      <c r="D88" s="10" t="s">
        <v>300</v>
      </c>
      <c r="E88" s="75"/>
      <c r="F88" s="10" t="s">
        <v>376</v>
      </c>
      <c r="G88" s="31">
        <v>43</v>
      </c>
      <c r="H88" s="52" t="s">
        <v>405</v>
      </c>
    </row>
    <row r="89" spans="1:8" ht="12.75">
      <c r="A89" s="10" t="s">
        <v>57</v>
      </c>
      <c r="B89" s="10"/>
      <c r="C89" s="10" t="s">
        <v>176</v>
      </c>
      <c r="D89" s="10" t="s">
        <v>300</v>
      </c>
      <c r="E89" s="75"/>
      <c r="F89" s="10" t="s">
        <v>376</v>
      </c>
      <c r="G89" s="31">
        <v>31</v>
      </c>
      <c r="H89" s="52" t="s">
        <v>405</v>
      </c>
    </row>
    <row r="90" spans="1:8" ht="12.75">
      <c r="A90" s="10" t="s">
        <v>58</v>
      </c>
      <c r="B90" s="10"/>
      <c r="C90" s="10" t="s">
        <v>177</v>
      </c>
      <c r="D90" s="10" t="s">
        <v>300</v>
      </c>
      <c r="E90" s="75"/>
      <c r="F90" s="10" t="s">
        <v>376</v>
      </c>
      <c r="G90" s="31">
        <v>37</v>
      </c>
      <c r="H90" s="52" t="s">
        <v>405</v>
      </c>
    </row>
    <row r="91" spans="1:8" ht="12.75">
      <c r="A91" s="10" t="s">
        <v>59</v>
      </c>
      <c r="B91" s="10"/>
      <c r="C91" s="10" t="s">
        <v>178</v>
      </c>
      <c r="D91" s="10" t="s">
        <v>300</v>
      </c>
      <c r="E91" s="75"/>
      <c r="F91" s="10" t="s">
        <v>376</v>
      </c>
      <c r="G91" s="31">
        <v>18</v>
      </c>
      <c r="H91" s="52" t="s">
        <v>405</v>
      </c>
    </row>
    <row r="92" spans="1:8" ht="12.75">
      <c r="A92" s="10" t="s">
        <v>60</v>
      </c>
      <c r="B92" s="10"/>
      <c r="C92" s="10" t="s">
        <v>179</v>
      </c>
      <c r="D92" s="10" t="s">
        <v>301</v>
      </c>
      <c r="E92" s="75"/>
      <c r="F92" s="10" t="s">
        <v>375</v>
      </c>
      <c r="G92" s="31">
        <v>20</v>
      </c>
      <c r="H92" s="52" t="s">
        <v>405</v>
      </c>
    </row>
    <row r="93" spans="1:8" ht="12.75">
      <c r="A93" s="10" t="s">
        <v>61</v>
      </c>
      <c r="B93" s="10"/>
      <c r="C93" s="10" t="s">
        <v>180</v>
      </c>
      <c r="D93" s="10" t="s">
        <v>302</v>
      </c>
      <c r="E93" s="75"/>
      <c r="F93" s="10" t="s">
        <v>375</v>
      </c>
      <c r="G93" s="31">
        <v>69</v>
      </c>
      <c r="H93" s="52" t="s">
        <v>405</v>
      </c>
    </row>
    <row r="94" spans="1:7" ht="12.75">
      <c r="A94" s="10"/>
      <c r="B94" s="10"/>
      <c r="C94" s="10"/>
      <c r="D94" s="10" t="s">
        <v>459</v>
      </c>
      <c r="E94" s="75"/>
      <c r="F94" s="10"/>
      <c r="G94" s="31">
        <v>69</v>
      </c>
    </row>
    <row r="95" spans="1:8" ht="12.75">
      <c r="A95" s="10" t="s">
        <v>62</v>
      </c>
      <c r="B95" s="10"/>
      <c r="C95" s="10" t="s">
        <v>181</v>
      </c>
      <c r="D95" s="10" t="s">
        <v>303</v>
      </c>
      <c r="E95" s="75"/>
      <c r="F95" s="10" t="s">
        <v>375</v>
      </c>
      <c r="G95" s="31">
        <v>9</v>
      </c>
      <c r="H95" s="52" t="s">
        <v>405</v>
      </c>
    </row>
    <row r="96" spans="1:7" ht="12.75">
      <c r="A96" s="10"/>
      <c r="B96" s="10"/>
      <c r="C96" s="10"/>
      <c r="D96" s="10" t="s">
        <v>15</v>
      </c>
      <c r="E96" s="75"/>
      <c r="F96" s="10"/>
      <c r="G96" s="31">
        <v>9</v>
      </c>
    </row>
    <row r="97" spans="1:8" ht="12.75">
      <c r="A97" s="10" t="s">
        <v>63</v>
      </c>
      <c r="B97" s="10"/>
      <c r="C97" s="10" t="s">
        <v>182</v>
      </c>
      <c r="D97" s="10" t="s">
        <v>304</v>
      </c>
      <c r="E97" s="75"/>
      <c r="F97" s="10" t="s">
        <v>375</v>
      </c>
      <c r="G97" s="31">
        <v>2</v>
      </c>
      <c r="H97" s="52" t="s">
        <v>405</v>
      </c>
    </row>
    <row r="98" spans="1:7" ht="12.75">
      <c r="A98" s="10"/>
      <c r="B98" s="10"/>
      <c r="C98" s="10"/>
      <c r="D98" s="10" t="s">
        <v>8</v>
      </c>
      <c r="E98" s="75"/>
      <c r="F98" s="10"/>
      <c r="G98" s="31">
        <v>2</v>
      </c>
    </row>
    <row r="99" spans="1:8" ht="12.75">
      <c r="A99" s="10" t="s">
        <v>64</v>
      </c>
      <c r="B99" s="10"/>
      <c r="C99" s="10" t="s">
        <v>183</v>
      </c>
      <c r="D99" s="10" t="s">
        <v>305</v>
      </c>
      <c r="E99" s="75"/>
      <c r="F99" s="10" t="s">
        <v>375</v>
      </c>
      <c r="G99" s="31">
        <v>5</v>
      </c>
      <c r="H99" s="52" t="s">
        <v>405</v>
      </c>
    </row>
    <row r="100" spans="1:7" ht="12.75">
      <c r="A100" s="10"/>
      <c r="B100" s="10"/>
      <c r="C100" s="10"/>
      <c r="D100" s="10" t="s">
        <v>11</v>
      </c>
      <c r="E100" s="75"/>
      <c r="F100" s="10"/>
      <c r="G100" s="31">
        <v>5</v>
      </c>
    </row>
    <row r="101" spans="1:8" ht="12.75">
      <c r="A101" s="10" t="s">
        <v>65</v>
      </c>
      <c r="B101" s="10"/>
      <c r="C101" s="10" t="s">
        <v>184</v>
      </c>
      <c r="D101" s="10" t="s">
        <v>306</v>
      </c>
      <c r="E101" s="75"/>
      <c r="F101" s="10" t="s">
        <v>375</v>
      </c>
      <c r="G101" s="31">
        <v>3</v>
      </c>
      <c r="H101" s="52" t="s">
        <v>405</v>
      </c>
    </row>
    <row r="102" spans="1:7" ht="12.75">
      <c r="A102" s="10"/>
      <c r="B102" s="10"/>
      <c r="C102" s="10"/>
      <c r="D102" s="10" t="s">
        <v>9</v>
      </c>
      <c r="E102" s="75"/>
      <c r="F102" s="10"/>
      <c r="G102" s="31">
        <v>3</v>
      </c>
    </row>
    <row r="103" spans="1:8" ht="12.75">
      <c r="A103" s="10" t="s">
        <v>66</v>
      </c>
      <c r="B103" s="10"/>
      <c r="C103" s="10" t="s">
        <v>185</v>
      </c>
      <c r="D103" s="10" t="s">
        <v>307</v>
      </c>
      <c r="E103" s="75"/>
      <c r="F103" s="10" t="s">
        <v>375</v>
      </c>
      <c r="G103" s="31">
        <v>1</v>
      </c>
      <c r="H103" s="52" t="s">
        <v>405</v>
      </c>
    </row>
    <row r="104" spans="1:8" ht="12.75">
      <c r="A104" s="10" t="s">
        <v>67</v>
      </c>
      <c r="B104" s="10"/>
      <c r="C104" s="10" t="s">
        <v>186</v>
      </c>
      <c r="D104" s="10" t="s">
        <v>308</v>
      </c>
      <c r="E104" s="75"/>
      <c r="F104" s="10" t="s">
        <v>375</v>
      </c>
      <c r="G104" s="31">
        <v>1</v>
      </c>
      <c r="H104" s="52" t="s">
        <v>405</v>
      </c>
    </row>
    <row r="105" spans="1:8" ht="12.75">
      <c r="A105" s="10" t="s">
        <v>68</v>
      </c>
      <c r="B105" s="10"/>
      <c r="C105" s="10" t="s">
        <v>187</v>
      </c>
      <c r="D105" s="10" t="s">
        <v>309</v>
      </c>
      <c r="E105" s="75"/>
      <c r="F105" s="10" t="s">
        <v>376</v>
      </c>
      <c r="G105" s="31">
        <v>456</v>
      </c>
      <c r="H105" s="52" t="s">
        <v>405</v>
      </c>
    </row>
    <row r="106" spans="1:7" ht="12.75">
      <c r="A106" s="10"/>
      <c r="B106" s="10"/>
      <c r="C106" s="10"/>
      <c r="D106" s="10" t="s">
        <v>460</v>
      </c>
      <c r="E106" s="75"/>
      <c r="F106" s="10"/>
      <c r="G106" s="31">
        <v>456</v>
      </c>
    </row>
    <row r="107" spans="1:8" ht="12.75">
      <c r="A107" s="10" t="s">
        <v>69</v>
      </c>
      <c r="B107" s="10"/>
      <c r="C107" s="10" t="s">
        <v>188</v>
      </c>
      <c r="D107" s="10" t="s">
        <v>310</v>
      </c>
      <c r="E107" s="75"/>
      <c r="F107" s="10" t="s">
        <v>376</v>
      </c>
      <c r="G107" s="31">
        <v>412</v>
      </c>
      <c r="H107" s="52" t="s">
        <v>405</v>
      </c>
    </row>
    <row r="108" spans="1:7" ht="12.75">
      <c r="A108" s="10"/>
      <c r="B108" s="10"/>
      <c r="C108" s="10"/>
      <c r="D108" s="10" t="s">
        <v>461</v>
      </c>
      <c r="E108" s="75"/>
      <c r="F108" s="10"/>
      <c r="G108" s="31">
        <v>412</v>
      </c>
    </row>
    <row r="109" spans="1:8" ht="12.75">
      <c r="A109" s="10" t="s">
        <v>70</v>
      </c>
      <c r="B109" s="10"/>
      <c r="C109" s="10" t="s">
        <v>189</v>
      </c>
      <c r="D109" s="10" t="s">
        <v>311</v>
      </c>
      <c r="E109" s="75"/>
      <c r="F109" s="10" t="s">
        <v>376</v>
      </c>
      <c r="G109" s="31">
        <v>26</v>
      </c>
      <c r="H109" s="52" t="s">
        <v>405</v>
      </c>
    </row>
    <row r="110" spans="1:8" ht="12.75">
      <c r="A110" s="10" t="s">
        <v>71</v>
      </c>
      <c r="B110" s="10"/>
      <c r="C110" s="10" t="s">
        <v>190</v>
      </c>
      <c r="D110" s="10" t="s">
        <v>312</v>
      </c>
      <c r="E110" s="75"/>
      <c r="F110" s="10" t="s">
        <v>376</v>
      </c>
      <c r="G110" s="31">
        <v>18</v>
      </c>
      <c r="H110" s="52" t="s">
        <v>405</v>
      </c>
    </row>
    <row r="111" spans="1:8" ht="12.75">
      <c r="A111" s="10" t="s">
        <v>72</v>
      </c>
      <c r="B111" s="10"/>
      <c r="C111" s="10" t="s">
        <v>191</v>
      </c>
      <c r="D111" s="10" t="s">
        <v>313</v>
      </c>
      <c r="E111" s="75"/>
      <c r="F111" s="10" t="s">
        <v>376</v>
      </c>
      <c r="G111" s="31">
        <v>456</v>
      </c>
      <c r="H111" s="52" t="s">
        <v>405</v>
      </c>
    </row>
    <row r="112" spans="1:7" ht="12.75">
      <c r="A112" s="10"/>
      <c r="B112" s="10"/>
      <c r="C112" s="10"/>
      <c r="D112" s="10" t="s">
        <v>462</v>
      </c>
      <c r="E112" s="75"/>
      <c r="F112" s="10"/>
      <c r="G112" s="31">
        <v>456</v>
      </c>
    </row>
    <row r="113" spans="1:8" ht="12.75">
      <c r="A113" s="10" t="s">
        <v>73</v>
      </c>
      <c r="B113" s="10"/>
      <c r="C113" s="10" t="s">
        <v>192</v>
      </c>
      <c r="D113" s="10" t="s">
        <v>314</v>
      </c>
      <c r="E113" s="75"/>
      <c r="F113" s="10" t="s">
        <v>375</v>
      </c>
      <c r="G113" s="31">
        <v>12</v>
      </c>
      <c r="H113" s="52" t="s">
        <v>405</v>
      </c>
    </row>
    <row r="114" spans="1:7" ht="12.75">
      <c r="A114" s="10"/>
      <c r="B114" s="10"/>
      <c r="C114" s="10"/>
      <c r="D114" s="10" t="s">
        <v>463</v>
      </c>
      <c r="E114" s="75"/>
      <c r="F114" s="10"/>
      <c r="G114" s="31">
        <v>12</v>
      </c>
    </row>
    <row r="115" spans="1:8" ht="12.75">
      <c r="A115" s="10" t="s">
        <v>74</v>
      </c>
      <c r="B115" s="10"/>
      <c r="C115" s="10" t="s">
        <v>193</v>
      </c>
      <c r="D115" s="10" t="s">
        <v>315</v>
      </c>
      <c r="E115" s="75"/>
      <c r="F115" s="10" t="s">
        <v>375</v>
      </c>
      <c r="G115" s="31">
        <v>40</v>
      </c>
      <c r="H115" s="52" t="s">
        <v>405</v>
      </c>
    </row>
    <row r="116" spans="1:7" ht="12.75">
      <c r="A116" s="10"/>
      <c r="B116" s="10"/>
      <c r="C116" s="10"/>
      <c r="D116" s="10" t="s">
        <v>46</v>
      </c>
      <c r="E116" s="75"/>
      <c r="F116" s="10"/>
      <c r="G116" s="31">
        <v>40</v>
      </c>
    </row>
    <row r="117" spans="1:8" ht="12.75">
      <c r="A117" s="10" t="s">
        <v>75</v>
      </c>
      <c r="B117" s="10"/>
      <c r="C117" s="10" t="s">
        <v>194</v>
      </c>
      <c r="D117" s="10" t="s">
        <v>316</v>
      </c>
      <c r="E117" s="75"/>
      <c r="F117" s="10" t="s">
        <v>377</v>
      </c>
      <c r="G117" s="31">
        <v>3.0552</v>
      </c>
      <c r="H117" s="52" t="s">
        <v>405</v>
      </c>
    </row>
    <row r="118" spans="1:7" ht="12.75">
      <c r="A118" s="10"/>
      <c r="B118" s="10"/>
      <c r="C118" s="10"/>
      <c r="D118" s="10" t="s">
        <v>464</v>
      </c>
      <c r="E118" s="75"/>
      <c r="F118" s="10"/>
      <c r="G118" s="31">
        <v>3.0552</v>
      </c>
    </row>
    <row r="119" spans="1:8" ht="12.75">
      <c r="A119" s="10" t="s">
        <v>76</v>
      </c>
      <c r="B119" s="10"/>
      <c r="C119" s="10" t="s">
        <v>196</v>
      </c>
      <c r="D119" s="10" t="s">
        <v>318</v>
      </c>
      <c r="E119" s="75"/>
      <c r="F119" s="10" t="s">
        <v>378</v>
      </c>
      <c r="G119" s="31">
        <v>1</v>
      </c>
      <c r="H119" s="52" t="s">
        <v>405</v>
      </c>
    </row>
    <row r="120" spans="1:7" ht="12.75">
      <c r="A120" s="10"/>
      <c r="B120" s="10"/>
      <c r="C120" s="10"/>
      <c r="D120" s="10" t="s">
        <v>7</v>
      </c>
      <c r="E120" s="75"/>
      <c r="F120" s="10"/>
      <c r="G120" s="31">
        <v>1</v>
      </c>
    </row>
    <row r="121" spans="1:8" ht="12.75">
      <c r="A121" s="10" t="s">
        <v>77</v>
      </c>
      <c r="B121" s="10"/>
      <c r="C121" s="10" t="s">
        <v>197</v>
      </c>
      <c r="D121" s="10" t="s">
        <v>319</v>
      </c>
      <c r="E121" s="75"/>
      <c r="F121" s="10" t="s">
        <v>378</v>
      </c>
      <c r="G121" s="31">
        <v>18</v>
      </c>
      <c r="H121" s="52" t="s">
        <v>405</v>
      </c>
    </row>
    <row r="122" spans="1:7" ht="12.75">
      <c r="A122" s="10"/>
      <c r="B122" s="10"/>
      <c r="C122" s="10"/>
      <c r="D122" s="10" t="s">
        <v>465</v>
      </c>
      <c r="E122" s="75"/>
      <c r="F122" s="10"/>
      <c r="G122" s="31">
        <v>18</v>
      </c>
    </row>
    <row r="123" spans="1:8" ht="12.75">
      <c r="A123" s="10" t="s">
        <v>78</v>
      </c>
      <c r="B123" s="10"/>
      <c r="C123" s="10" t="s">
        <v>198</v>
      </c>
      <c r="D123" s="10" t="s">
        <v>320</v>
      </c>
      <c r="E123" s="75"/>
      <c r="F123" s="10" t="s">
        <v>378</v>
      </c>
      <c r="G123" s="31">
        <v>3</v>
      </c>
      <c r="H123" s="52" t="s">
        <v>405</v>
      </c>
    </row>
    <row r="124" spans="1:8" ht="12.75">
      <c r="A124" s="10" t="s">
        <v>79</v>
      </c>
      <c r="B124" s="10"/>
      <c r="C124" s="10" t="s">
        <v>199</v>
      </c>
      <c r="D124" s="10" t="s">
        <v>321</v>
      </c>
      <c r="E124" s="75"/>
      <c r="F124" s="10" t="s">
        <v>378</v>
      </c>
      <c r="G124" s="31">
        <v>1</v>
      </c>
      <c r="H124" s="52" t="s">
        <v>405</v>
      </c>
    </row>
    <row r="125" spans="1:8" ht="12.75">
      <c r="A125" s="10" t="s">
        <v>80</v>
      </c>
      <c r="B125" s="10"/>
      <c r="C125" s="10" t="s">
        <v>200</v>
      </c>
      <c r="D125" s="10" t="s">
        <v>322</v>
      </c>
      <c r="E125" s="75"/>
      <c r="F125" s="10" t="s">
        <v>378</v>
      </c>
      <c r="G125" s="31">
        <v>19</v>
      </c>
      <c r="H125" s="52" t="s">
        <v>405</v>
      </c>
    </row>
    <row r="126" spans="1:8" ht="12.75">
      <c r="A126" s="10" t="s">
        <v>81</v>
      </c>
      <c r="B126" s="10"/>
      <c r="C126" s="10" t="s">
        <v>201</v>
      </c>
      <c r="D126" s="10" t="s">
        <v>323</v>
      </c>
      <c r="E126" s="75"/>
      <c r="F126" s="10" t="s">
        <v>378</v>
      </c>
      <c r="G126" s="31">
        <v>4</v>
      </c>
      <c r="H126" s="52" t="s">
        <v>405</v>
      </c>
    </row>
    <row r="127" spans="1:8" ht="12.75">
      <c r="A127" s="10" t="s">
        <v>82</v>
      </c>
      <c r="B127" s="10"/>
      <c r="C127" s="10" t="s">
        <v>202</v>
      </c>
      <c r="D127" s="10" t="s">
        <v>324</v>
      </c>
      <c r="E127" s="75"/>
      <c r="F127" s="10" t="s">
        <v>378</v>
      </c>
      <c r="G127" s="31">
        <v>1</v>
      </c>
      <c r="H127" s="52" t="s">
        <v>405</v>
      </c>
    </row>
    <row r="128" spans="1:8" ht="12.75">
      <c r="A128" s="10" t="s">
        <v>83</v>
      </c>
      <c r="B128" s="10"/>
      <c r="C128" s="10" t="s">
        <v>203</v>
      </c>
      <c r="D128" s="10" t="s">
        <v>325</v>
      </c>
      <c r="E128" s="75"/>
      <c r="F128" s="10" t="s">
        <v>378</v>
      </c>
      <c r="G128" s="31">
        <v>1</v>
      </c>
      <c r="H128" s="52" t="s">
        <v>405</v>
      </c>
    </row>
    <row r="129" spans="1:8" ht="12.75">
      <c r="A129" s="10" t="s">
        <v>84</v>
      </c>
      <c r="B129" s="10"/>
      <c r="C129" s="10" t="s">
        <v>204</v>
      </c>
      <c r="D129" s="10" t="s">
        <v>326</v>
      </c>
      <c r="E129" s="75"/>
      <c r="F129" s="10" t="s">
        <v>378</v>
      </c>
      <c r="G129" s="31">
        <v>5</v>
      </c>
      <c r="H129" s="52" t="s">
        <v>405</v>
      </c>
    </row>
    <row r="130" spans="1:8" ht="12.75">
      <c r="A130" s="12" t="s">
        <v>85</v>
      </c>
      <c r="B130" s="12"/>
      <c r="C130" s="12" t="s">
        <v>205</v>
      </c>
      <c r="D130" s="12" t="s">
        <v>327</v>
      </c>
      <c r="E130" s="76"/>
      <c r="F130" s="12" t="s">
        <v>375</v>
      </c>
      <c r="G130" s="32">
        <v>5</v>
      </c>
      <c r="H130" s="53" t="s">
        <v>405</v>
      </c>
    </row>
    <row r="131" spans="1:8" ht="12.75">
      <c r="A131" s="10" t="s">
        <v>86</v>
      </c>
      <c r="B131" s="10"/>
      <c r="C131" s="10" t="s">
        <v>206</v>
      </c>
      <c r="D131" s="10" t="s">
        <v>328</v>
      </c>
      <c r="E131" s="75"/>
      <c r="F131" s="10" t="s">
        <v>378</v>
      </c>
      <c r="G131" s="31">
        <v>22</v>
      </c>
      <c r="H131" s="52" t="s">
        <v>405</v>
      </c>
    </row>
    <row r="132" spans="1:8" ht="12.75">
      <c r="A132" s="10" t="s">
        <v>87</v>
      </c>
      <c r="B132" s="10"/>
      <c r="C132" s="10" t="s">
        <v>207</v>
      </c>
      <c r="D132" s="10" t="s">
        <v>329</v>
      </c>
      <c r="E132" s="75"/>
      <c r="F132" s="10" t="s">
        <v>378</v>
      </c>
      <c r="G132" s="31">
        <v>24</v>
      </c>
      <c r="H132" s="52" t="s">
        <v>405</v>
      </c>
    </row>
    <row r="133" spans="1:8" ht="12.75">
      <c r="A133" s="10" t="s">
        <v>88</v>
      </c>
      <c r="B133" s="10"/>
      <c r="C133" s="10" t="s">
        <v>208</v>
      </c>
      <c r="D133" s="10" t="s">
        <v>330</v>
      </c>
      <c r="E133" s="75"/>
      <c r="F133" s="10" t="s">
        <v>378</v>
      </c>
      <c r="G133" s="31">
        <v>5</v>
      </c>
      <c r="H133" s="52" t="s">
        <v>405</v>
      </c>
    </row>
    <row r="134" spans="1:8" ht="12.75">
      <c r="A134" s="10" t="s">
        <v>89</v>
      </c>
      <c r="B134" s="10"/>
      <c r="C134" s="10" t="s">
        <v>209</v>
      </c>
      <c r="D134" s="10" t="s">
        <v>331</v>
      </c>
      <c r="E134" s="75"/>
      <c r="F134" s="10" t="s">
        <v>378</v>
      </c>
      <c r="G134" s="31">
        <v>22</v>
      </c>
      <c r="H134" s="52" t="s">
        <v>405</v>
      </c>
    </row>
    <row r="135" spans="1:8" ht="12.75">
      <c r="A135" s="10" t="s">
        <v>90</v>
      </c>
      <c r="B135" s="10"/>
      <c r="C135" s="10" t="s">
        <v>210</v>
      </c>
      <c r="D135" s="10" t="s">
        <v>332</v>
      </c>
      <c r="E135" s="75"/>
      <c r="F135" s="10" t="s">
        <v>375</v>
      </c>
      <c r="G135" s="31">
        <v>19</v>
      </c>
      <c r="H135" s="52" t="s">
        <v>405</v>
      </c>
    </row>
    <row r="136" spans="1:8" ht="12.75">
      <c r="A136" s="10" t="s">
        <v>91</v>
      </c>
      <c r="B136" s="10"/>
      <c r="C136" s="10" t="s">
        <v>211</v>
      </c>
      <c r="D136" s="10" t="s">
        <v>333</v>
      </c>
      <c r="E136" s="75"/>
      <c r="F136" s="10" t="s">
        <v>378</v>
      </c>
      <c r="G136" s="31">
        <v>19</v>
      </c>
      <c r="H136" s="52" t="s">
        <v>405</v>
      </c>
    </row>
    <row r="137" spans="1:7" ht="12.75">
      <c r="A137" s="10"/>
      <c r="B137" s="10"/>
      <c r="C137" s="10"/>
      <c r="D137" s="10" t="s">
        <v>25</v>
      </c>
      <c r="E137" s="75"/>
      <c r="F137" s="10"/>
      <c r="G137" s="31">
        <v>19</v>
      </c>
    </row>
    <row r="138" spans="1:8" ht="12.75">
      <c r="A138" s="12" t="s">
        <v>92</v>
      </c>
      <c r="B138" s="12"/>
      <c r="C138" s="12" t="s">
        <v>212</v>
      </c>
      <c r="D138" s="12" t="s">
        <v>334</v>
      </c>
      <c r="E138" s="76"/>
      <c r="F138" s="12" t="s">
        <v>375</v>
      </c>
      <c r="G138" s="32">
        <v>19</v>
      </c>
      <c r="H138" s="53" t="s">
        <v>405</v>
      </c>
    </row>
    <row r="139" spans="1:7" ht="12.75">
      <c r="A139" s="12"/>
      <c r="B139" s="12"/>
      <c r="C139" s="12"/>
      <c r="D139" s="12" t="s">
        <v>25</v>
      </c>
      <c r="E139" s="76"/>
      <c r="F139" s="12"/>
      <c r="G139" s="32">
        <v>19</v>
      </c>
    </row>
    <row r="140" spans="1:8" ht="12.75">
      <c r="A140" s="10" t="s">
        <v>93</v>
      </c>
      <c r="B140" s="10"/>
      <c r="C140" s="10" t="s">
        <v>213</v>
      </c>
      <c r="D140" s="10" t="s">
        <v>335</v>
      </c>
      <c r="E140" s="75"/>
      <c r="F140" s="10" t="s">
        <v>375</v>
      </c>
      <c r="G140" s="31">
        <v>5</v>
      </c>
      <c r="H140" s="52" t="s">
        <v>405</v>
      </c>
    </row>
    <row r="141" spans="1:8" ht="12.75">
      <c r="A141" s="10" t="s">
        <v>94</v>
      </c>
      <c r="B141" s="10"/>
      <c r="C141" s="10" t="s">
        <v>214</v>
      </c>
      <c r="D141" s="10" t="s">
        <v>336</v>
      </c>
      <c r="E141" s="75"/>
      <c r="F141" s="10" t="s">
        <v>375</v>
      </c>
      <c r="G141" s="31">
        <v>2</v>
      </c>
      <c r="H141" s="52" t="s">
        <v>405</v>
      </c>
    </row>
    <row r="142" spans="1:8" ht="12.75">
      <c r="A142" s="10" t="s">
        <v>95</v>
      </c>
      <c r="B142" s="10"/>
      <c r="C142" s="10" t="s">
        <v>215</v>
      </c>
      <c r="D142" s="10" t="s">
        <v>337</v>
      </c>
      <c r="E142" s="75"/>
      <c r="F142" s="10" t="s">
        <v>375</v>
      </c>
      <c r="G142" s="31">
        <v>8</v>
      </c>
      <c r="H142" s="52" t="s">
        <v>405</v>
      </c>
    </row>
    <row r="143" spans="1:8" ht="12.75">
      <c r="A143" s="10" t="s">
        <v>96</v>
      </c>
      <c r="B143" s="10"/>
      <c r="C143" s="10" t="s">
        <v>216</v>
      </c>
      <c r="D143" s="10" t="s">
        <v>338</v>
      </c>
      <c r="E143" s="75"/>
      <c r="F143" s="10" t="s">
        <v>375</v>
      </c>
      <c r="G143" s="31">
        <v>2</v>
      </c>
      <c r="H143" s="52" t="s">
        <v>405</v>
      </c>
    </row>
    <row r="144" spans="1:8" ht="12.75">
      <c r="A144" s="10" t="s">
        <v>97</v>
      </c>
      <c r="B144" s="10"/>
      <c r="C144" s="10" t="s">
        <v>218</v>
      </c>
      <c r="D144" s="10" t="s">
        <v>340</v>
      </c>
      <c r="E144" s="75"/>
      <c r="F144" s="10" t="s">
        <v>378</v>
      </c>
      <c r="G144" s="31">
        <v>1</v>
      </c>
      <c r="H144" s="52" t="s">
        <v>405</v>
      </c>
    </row>
    <row r="145" spans="1:8" ht="12.75">
      <c r="A145" s="10" t="s">
        <v>98</v>
      </c>
      <c r="B145" s="10"/>
      <c r="C145" s="10" t="s">
        <v>219</v>
      </c>
      <c r="D145" s="10" t="s">
        <v>341</v>
      </c>
      <c r="E145" s="75"/>
      <c r="F145" s="10" t="s">
        <v>378</v>
      </c>
      <c r="G145" s="31">
        <v>20</v>
      </c>
      <c r="H145" s="52" t="s">
        <v>405</v>
      </c>
    </row>
    <row r="146" spans="1:8" ht="12.75">
      <c r="A146" s="10" t="s">
        <v>99</v>
      </c>
      <c r="B146" s="10"/>
      <c r="C146" s="10" t="s">
        <v>221</v>
      </c>
      <c r="D146" s="10" t="s">
        <v>343</v>
      </c>
      <c r="E146" s="75"/>
      <c r="F146" s="10" t="s">
        <v>375</v>
      </c>
      <c r="G146" s="31">
        <v>4</v>
      </c>
      <c r="H146" s="52" t="s">
        <v>405</v>
      </c>
    </row>
    <row r="147" spans="1:7" ht="12.75">
      <c r="A147" s="10"/>
      <c r="B147" s="10"/>
      <c r="C147" s="10"/>
      <c r="D147" s="10" t="s">
        <v>10</v>
      </c>
      <c r="E147" s="75"/>
      <c r="F147" s="10"/>
      <c r="G147" s="31">
        <v>4</v>
      </c>
    </row>
    <row r="148" spans="1:8" ht="12.75">
      <c r="A148" s="10" t="s">
        <v>100</v>
      </c>
      <c r="B148" s="10"/>
      <c r="C148" s="10" t="s">
        <v>223</v>
      </c>
      <c r="D148" s="10" t="s">
        <v>345</v>
      </c>
      <c r="E148" s="75"/>
      <c r="F148" s="10" t="s">
        <v>374</v>
      </c>
      <c r="G148" s="31">
        <v>17.15</v>
      </c>
      <c r="H148" s="52" t="s">
        <v>405</v>
      </c>
    </row>
    <row r="149" spans="1:7" ht="12.75">
      <c r="A149" s="10"/>
      <c r="B149" s="10"/>
      <c r="C149" s="10"/>
      <c r="D149" s="10" t="s">
        <v>466</v>
      </c>
      <c r="E149" s="75"/>
      <c r="F149" s="10"/>
      <c r="G149" s="31">
        <v>17.15</v>
      </c>
    </row>
    <row r="150" spans="1:8" ht="12.75">
      <c r="A150" s="10" t="s">
        <v>101</v>
      </c>
      <c r="B150" s="10"/>
      <c r="C150" s="10" t="s">
        <v>224</v>
      </c>
      <c r="D150" s="10" t="s">
        <v>346</v>
      </c>
      <c r="E150" s="75"/>
      <c r="F150" s="10" t="s">
        <v>374</v>
      </c>
      <c r="G150" s="31">
        <v>17.15</v>
      </c>
      <c r="H150" s="52" t="s">
        <v>405</v>
      </c>
    </row>
    <row r="151" spans="1:7" ht="12.75">
      <c r="A151" s="10"/>
      <c r="B151" s="10"/>
      <c r="C151" s="10"/>
      <c r="D151" s="10" t="s">
        <v>466</v>
      </c>
      <c r="E151" s="75"/>
      <c r="F151" s="10"/>
      <c r="G151" s="31">
        <v>17.15</v>
      </c>
    </row>
    <row r="152" spans="1:8" ht="12.75">
      <c r="A152" s="10" t="s">
        <v>102</v>
      </c>
      <c r="B152" s="10"/>
      <c r="C152" s="10" t="s">
        <v>225</v>
      </c>
      <c r="D152" s="10" t="s">
        <v>347</v>
      </c>
      <c r="E152" s="75"/>
      <c r="F152" s="10" t="s">
        <v>374</v>
      </c>
      <c r="G152" s="31">
        <v>17.15</v>
      </c>
      <c r="H152" s="52" t="s">
        <v>405</v>
      </c>
    </row>
    <row r="153" spans="1:7" ht="12.75">
      <c r="A153" s="10"/>
      <c r="B153" s="10"/>
      <c r="C153" s="10"/>
      <c r="D153" s="10" t="s">
        <v>466</v>
      </c>
      <c r="E153" s="75"/>
      <c r="F153" s="10"/>
      <c r="G153" s="31">
        <v>17.15</v>
      </c>
    </row>
    <row r="154" spans="1:8" ht="12.75">
      <c r="A154" s="10" t="s">
        <v>103</v>
      </c>
      <c r="B154" s="10"/>
      <c r="C154" s="10" t="s">
        <v>226</v>
      </c>
      <c r="D154" s="10" t="s">
        <v>348</v>
      </c>
      <c r="E154" s="75"/>
      <c r="F154" s="10" t="s">
        <v>374</v>
      </c>
      <c r="G154" s="31">
        <v>17.15</v>
      </c>
      <c r="H154" s="52" t="s">
        <v>405</v>
      </c>
    </row>
    <row r="155" spans="1:7" ht="12.75">
      <c r="A155" s="10"/>
      <c r="B155" s="10"/>
      <c r="C155" s="10"/>
      <c r="D155" s="10" t="s">
        <v>466</v>
      </c>
      <c r="E155" s="75"/>
      <c r="F155" s="10"/>
      <c r="G155" s="31">
        <v>17.15</v>
      </c>
    </row>
    <row r="156" spans="1:8" ht="12.75">
      <c r="A156" s="10" t="s">
        <v>104</v>
      </c>
      <c r="B156" s="10"/>
      <c r="C156" s="10" t="s">
        <v>227</v>
      </c>
      <c r="D156" s="10" t="s">
        <v>349</v>
      </c>
      <c r="E156" s="75"/>
      <c r="F156" s="10" t="s">
        <v>375</v>
      </c>
      <c r="G156" s="31">
        <v>35</v>
      </c>
      <c r="H156" s="52" t="s">
        <v>405</v>
      </c>
    </row>
    <row r="157" spans="1:8" ht="12.75">
      <c r="A157" s="10" t="s">
        <v>105</v>
      </c>
      <c r="B157" s="10"/>
      <c r="C157" s="10" t="s">
        <v>228</v>
      </c>
      <c r="D157" s="10" t="s">
        <v>351</v>
      </c>
      <c r="E157" s="75"/>
      <c r="F157" s="10" t="s">
        <v>379</v>
      </c>
      <c r="G157" s="31">
        <v>200</v>
      </c>
      <c r="H157" s="52" t="s">
        <v>404</v>
      </c>
    </row>
    <row r="158" spans="1:7" ht="12.75">
      <c r="A158" s="10"/>
      <c r="B158" s="10"/>
      <c r="C158" s="10"/>
      <c r="D158" s="10" t="s">
        <v>467</v>
      </c>
      <c r="E158" s="75"/>
      <c r="F158" s="10"/>
      <c r="G158" s="31">
        <v>200</v>
      </c>
    </row>
    <row r="159" spans="1:8" ht="12.75">
      <c r="A159" s="10" t="s">
        <v>106</v>
      </c>
      <c r="B159" s="10"/>
      <c r="C159" s="10" t="s">
        <v>229</v>
      </c>
      <c r="D159" s="10" t="s">
        <v>353</v>
      </c>
      <c r="E159" s="75"/>
      <c r="F159" s="10" t="s">
        <v>376</v>
      </c>
      <c r="G159" s="31">
        <v>24</v>
      </c>
      <c r="H159" s="52" t="s">
        <v>405</v>
      </c>
    </row>
    <row r="160" spans="1:7" ht="12.75">
      <c r="A160" s="10"/>
      <c r="B160" s="10"/>
      <c r="C160" s="10"/>
      <c r="D160" s="10" t="s">
        <v>30</v>
      </c>
      <c r="E160" s="75"/>
      <c r="F160" s="10"/>
      <c r="G160" s="31">
        <v>24</v>
      </c>
    </row>
    <row r="161" spans="1:8" ht="12.75">
      <c r="A161" s="10" t="s">
        <v>107</v>
      </c>
      <c r="B161" s="10"/>
      <c r="C161" s="10" t="s">
        <v>230</v>
      </c>
      <c r="D161" s="10" t="s">
        <v>354</v>
      </c>
      <c r="E161" s="75"/>
      <c r="F161" s="10" t="s">
        <v>375</v>
      </c>
      <c r="G161" s="31">
        <v>2</v>
      </c>
      <c r="H161" s="52" t="s">
        <v>405</v>
      </c>
    </row>
    <row r="162" spans="1:8" ht="12.75">
      <c r="A162" s="10" t="s">
        <v>108</v>
      </c>
      <c r="B162" s="10"/>
      <c r="C162" s="10" t="s">
        <v>231</v>
      </c>
      <c r="D162" s="10" t="s">
        <v>355</v>
      </c>
      <c r="E162" s="75"/>
      <c r="F162" s="10" t="s">
        <v>380</v>
      </c>
      <c r="G162" s="31">
        <v>240</v>
      </c>
      <c r="H162" s="52" t="s">
        <v>405</v>
      </c>
    </row>
    <row r="163" spans="1:7" ht="12.75">
      <c r="A163" s="10"/>
      <c r="B163" s="10"/>
      <c r="C163" s="10"/>
      <c r="D163" s="10" t="s">
        <v>468</v>
      </c>
      <c r="E163" s="75"/>
      <c r="F163" s="10"/>
      <c r="G163" s="31">
        <v>240</v>
      </c>
    </row>
    <row r="164" spans="1:8" ht="12.75">
      <c r="A164" s="10" t="s">
        <v>109</v>
      </c>
      <c r="B164" s="10"/>
      <c r="C164" s="10" t="s">
        <v>232</v>
      </c>
      <c r="D164" s="10" t="s">
        <v>356</v>
      </c>
      <c r="E164" s="75"/>
      <c r="F164" s="10" t="s">
        <v>380</v>
      </c>
      <c r="G164" s="31">
        <v>60</v>
      </c>
      <c r="H164" s="52" t="s">
        <v>405</v>
      </c>
    </row>
    <row r="165" spans="1:7" ht="12.75">
      <c r="A165" s="10"/>
      <c r="B165" s="10"/>
      <c r="C165" s="10"/>
      <c r="D165" s="10" t="s">
        <v>469</v>
      </c>
      <c r="E165" s="75"/>
      <c r="F165" s="10"/>
      <c r="G165" s="31">
        <v>60</v>
      </c>
    </row>
    <row r="166" spans="1:8" ht="12.75">
      <c r="A166" s="10" t="s">
        <v>110</v>
      </c>
      <c r="B166" s="10"/>
      <c r="C166" s="10" t="s">
        <v>233</v>
      </c>
      <c r="D166" s="10" t="s">
        <v>357</v>
      </c>
      <c r="E166" s="75"/>
      <c r="F166" s="10" t="s">
        <v>380</v>
      </c>
      <c r="G166" s="31">
        <v>120</v>
      </c>
      <c r="H166" s="52" t="s">
        <v>405</v>
      </c>
    </row>
    <row r="167" spans="1:8" ht="12.75">
      <c r="A167" s="10" t="s">
        <v>111</v>
      </c>
      <c r="B167" s="10"/>
      <c r="C167" s="10" t="s">
        <v>234</v>
      </c>
      <c r="D167" s="10" t="s">
        <v>358</v>
      </c>
      <c r="E167" s="75"/>
      <c r="F167" s="10" t="s">
        <v>381</v>
      </c>
      <c r="G167" s="31">
        <v>9.09602</v>
      </c>
      <c r="H167" s="52" t="s">
        <v>405</v>
      </c>
    </row>
    <row r="168" spans="1:7" ht="12.75">
      <c r="A168" s="10"/>
      <c r="B168" s="10"/>
      <c r="C168" s="10"/>
      <c r="D168" s="10" t="s">
        <v>470</v>
      </c>
      <c r="E168" s="75"/>
      <c r="F168" s="10"/>
      <c r="G168" s="31">
        <v>9.09602</v>
      </c>
    </row>
    <row r="169" spans="1:8" ht="12.75">
      <c r="A169" s="10" t="s">
        <v>112</v>
      </c>
      <c r="B169" s="10"/>
      <c r="C169" s="10" t="s">
        <v>235</v>
      </c>
      <c r="D169" s="10" t="s">
        <v>359</v>
      </c>
      <c r="E169" s="75"/>
      <c r="F169" s="10" t="s">
        <v>381</v>
      </c>
      <c r="G169" s="31">
        <v>9.09602</v>
      </c>
      <c r="H169" s="52" t="s">
        <v>405</v>
      </c>
    </row>
    <row r="170" spans="1:7" ht="12.75">
      <c r="A170" s="10"/>
      <c r="B170" s="10"/>
      <c r="C170" s="10"/>
      <c r="D170" s="10" t="s">
        <v>470</v>
      </c>
      <c r="E170" s="75"/>
      <c r="F170" s="10"/>
      <c r="G170" s="31">
        <v>9.09602</v>
      </c>
    </row>
    <row r="171" spans="1:8" ht="12.75">
      <c r="A171" s="10" t="s">
        <v>113</v>
      </c>
      <c r="B171" s="10"/>
      <c r="C171" s="10" t="s">
        <v>236</v>
      </c>
      <c r="D171" s="10" t="s">
        <v>360</v>
      </c>
      <c r="E171" s="75"/>
      <c r="F171" s="10" t="s">
        <v>380</v>
      </c>
      <c r="G171" s="31">
        <v>30</v>
      </c>
      <c r="H171" s="52" t="s">
        <v>405</v>
      </c>
    </row>
    <row r="172" spans="1:8" ht="12.75">
      <c r="A172" s="10" t="s">
        <v>114</v>
      </c>
      <c r="B172" s="10"/>
      <c r="C172" s="10" t="s">
        <v>237</v>
      </c>
      <c r="D172" s="10" t="s">
        <v>361</v>
      </c>
      <c r="E172" s="75"/>
      <c r="F172" s="10" t="s">
        <v>375</v>
      </c>
      <c r="G172" s="31">
        <v>6</v>
      </c>
      <c r="H172" s="52" t="s">
        <v>405</v>
      </c>
    </row>
    <row r="173" spans="1:7" ht="12.75">
      <c r="A173" s="10"/>
      <c r="B173" s="10"/>
      <c r="C173" s="10"/>
      <c r="D173" s="10" t="s">
        <v>12</v>
      </c>
      <c r="E173" s="75"/>
      <c r="F173" s="10"/>
      <c r="G173" s="31">
        <v>6</v>
      </c>
    </row>
    <row r="174" spans="1:8" ht="12.75">
      <c r="A174" s="10" t="s">
        <v>115</v>
      </c>
      <c r="B174" s="10"/>
      <c r="C174" s="10" t="s">
        <v>238</v>
      </c>
      <c r="D174" s="10" t="s">
        <v>362</v>
      </c>
      <c r="E174" s="75"/>
      <c r="F174" s="10" t="s">
        <v>376</v>
      </c>
      <c r="G174" s="31">
        <v>83</v>
      </c>
      <c r="H174" s="52" t="s">
        <v>405</v>
      </c>
    </row>
    <row r="175" spans="1:7" ht="12.75">
      <c r="A175" s="10"/>
      <c r="B175" s="10"/>
      <c r="C175" s="10"/>
      <c r="D175" s="10" t="s">
        <v>471</v>
      </c>
      <c r="E175" s="75"/>
      <c r="F175" s="10"/>
      <c r="G175" s="31">
        <v>83</v>
      </c>
    </row>
    <row r="176" spans="1:8" ht="12.75">
      <c r="A176" s="10" t="s">
        <v>116</v>
      </c>
      <c r="B176" s="10"/>
      <c r="C176" s="10" t="s">
        <v>240</v>
      </c>
      <c r="D176" s="10" t="s">
        <v>364</v>
      </c>
      <c r="E176" s="75"/>
      <c r="F176" s="10" t="s">
        <v>377</v>
      </c>
      <c r="G176" s="31">
        <v>13.64403</v>
      </c>
      <c r="H176" s="52" t="s">
        <v>405</v>
      </c>
    </row>
    <row r="177" spans="1:7" ht="12.75">
      <c r="A177" s="10"/>
      <c r="B177" s="10"/>
      <c r="C177" s="10"/>
      <c r="D177" s="10" t="s">
        <v>472</v>
      </c>
      <c r="E177" s="75"/>
      <c r="F177" s="10"/>
      <c r="G177" s="31">
        <v>13.64403</v>
      </c>
    </row>
    <row r="178" spans="1:8" ht="12.75">
      <c r="A178" s="10" t="s">
        <v>117</v>
      </c>
      <c r="B178" s="10"/>
      <c r="C178" s="10" t="s">
        <v>241</v>
      </c>
      <c r="D178" s="10" t="s">
        <v>365</v>
      </c>
      <c r="E178" s="75"/>
      <c r="F178" s="10" t="s">
        <v>377</v>
      </c>
      <c r="G178" s="31">
        <v>13.64403</v>
      </c>
      <c r="H178" s="52" t="s">
        <v>405</v>
      </c>
    </row>
    <row r="179" spans="1:7" ht="12.75">
      <c r="A179" s="10"/>
      <c r="B179" s="10"/>
      <c r="C179" s="10"/>
      <c r="D179" s="10" t="s">
        <v>472</v>
      </c>
      <c r="E179" s="75"/>
      <c r="F179" s="10"/>
      <c r="G179" s="31">
        <v>13.64403</v>
      </c>
    </row>
    <row r="180" spans="1:8" ht="12.75">
      <c r="A180" s="10" t="s">
        <v>118</v>
      </c>
      <c r="B180" s="10"/>
      <c r="C180" s="10" t="s">
        <v>242</v>
      </c>
      <c r="D180" s="10" t="s">
        <v>366</v>
      </c>
      <c r="E180" s="75"/>
      <c r="F180" s="10" t="s">
        <v>377</v>
      </c>
      <c r="G180" s="31">
        <v>136.4403</v>
      </c>
      <c r="H180" s="52" t="s">
        <v>405</v>
      </c>
    </row>
    <row r="181" spans="1:7" ht="12.75">
      <c r="A181" s="10"/>
      <c r="B181" s="10"/>
      <c r="C181" s="10"/>
      <c r="D181" s="10" t="s">
        <v>473</v>
      </c>
      <c r="E181" s="75"/>
      <c r="F181" s="10"/>
      <c r="G181" s="31">
        <v>136.4403</v>
      </c>
    </row>
    <row r="182" spans="1:8" ht="12.75">
      <c r="A182" s="10" t="s">
        <v>119</v>
      </c>
      <c r="B182" s="10"/>
      <c r="C182" s="10" t="s">
        <v>243</v>
      </c>
      <c r="D182" s="10" t="s">
        <v>367</v>
      </c>
      <c r="E182" s="75"/>
      <c r="F182" s="10" t="s">
        <v>377</v>
      </c>
      <c r="G182" s="31">
        <v>13.64403</v>
      </c>
      <c r="H182" s="52" t="s">
        <v>405</v>
      </c>
    </row>
    <row r="183" spans="1:7" ht="12.75">
      <c r="A183" s="10"/>
      <c r="B183" s="10"/>
      <c r="C183" s="10"/>
      <c r="D183" s="10" t="s">
        <v>472</v>
      </c>
      <c r="E183" s="75"/>
      <c r="F183" s="10"/>
      <c r="G183" s="31">
        <v>13.64403</v>
      </c>
    </row>
    <row r="184" spans="1:8" ht="12.75">
      <c r="A184" s="10" t="s">
        <v>120</v>
      </c>
      <c r="B184" s="10"/>
      <c r="C184" s="10" t="s">
        <v>244</v>
      </c>
      <c r="D184" s="10" t="s">
        <v>368</v>
      </c>
      <c r="E184" s="75"/>
      <c r="F184" s="10" t="s">
        <v>377</v>
      </c>
      <c r="G184" s="31">
        <v>13.64403</v>
      </c>
      <c r="H184" s="52" t="s">
        <v>405</v>
      </c>
    </row>
    <row r="185" spans="1:7" ht="12.75">
      <c r="A185" s="10"/>
      <c r="B185" s="10"/>
      <c r="C185" s="10"/>
      <c r="D185" s="10" t="s">
        <v>472</v>
      </c>
      <c r="E185" s="75"/>
      <c r="F185" s="10"/>
      <c r="G185" s="31">
        <v>13.64403</v>
      </c>
    </row>
    <row r="187" ht="11.25" customHeight="1">
      <c r="A187" s="15" t="s">
        <v>121</v>
      </c>
    </row>
    <row r="188" spans="1:7" ht="12.75">
      <c r="A188" s="16"/>
      <c r="B188" s="19"/>
      <c r="C188" s="19"/>
      <c r="D188" s="19"/>
      <c r="E188" s="19"/>
      <c r="F188" s="19"/>
      <c r="G188" s="19"/>
    </row>
  </sheetData>
  <mergeCells count="194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A188:G188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23"/>
      <c r="B1" s="80"/>
      <c r="C1" s="103" t="s">
        <v>490</v>
      </c>
      <c r="D1" s="17"/>
      <c r="E1" s="17"/>
      <c r="F1" s="17"/>
      <c r="G1" s="17"/>
      <c r="H1" s="17"/>
      <c r="I1" s="17"/>
    </row>
    <row r="2" spans="1:10" ht="12.75">
      <c r="A2" s="3" t="s">
        <v>1</v>
      </c>
      <c r="B2" s="18"/>
      <c r="C2" s="25" t="str">
        <f>'Stavební rozpočet'!D2</f>
        <v>Školka Ladova</v>
      </c>
      <c r="D2" s="42"/>
      <c r="E2" s="39" t="s">
        <v>392</v>
      </c>
      <c r="F2" s="39" t="str">
        <f>'Stavební rozpočet'!J2</f>
        <v> </v>
      </c>
      <c r="G2" s="18"/>
      <c r="H2" s="39" t="s">
        <v>515</v>
      </c>
      <c r="I2" s="117"/>
      <c r="J2" s="55"/>
    </row>
    <row r="3" spans="1:10" ht="12.75">
      <c r="A3" s="4"/>
      <c r="B3" s="19"/>
      <c r="C3" s="26"/>
      <c r="D3" s="26"/>
      <c r="E3" s="19"/>
      <c r="F3" s="19"/>
      <c r="G3" s="19"/>
      <c r="H3" s="19"/>
      <c r="I3" s="48"/>
      <c r="J3" s="55"/>
    </row>
    <row r="4" spans="1:10" ht="12.75">
      <c r="A4" s="5" t="s">
        <v>2</v>
      </c>
      <c r="B4" s="19"/>
      <c r="C4" s="16" t="str">
        <f>'Stavební rozpočet'!D4</f>
        <v>Část ZTI</v>
      </c>
      <c r="D4" s="19"/>
      <c r="E4" s="16" t="s">
        <v>393</v>
      </c>
      <c r="F4" s="16" t="str">
        <f>'Stavební rozpočet'!J4</f>
        <v>INTER ART PROJEKT s.r.o.</v>
      </c>
      <c r="G4" s="19"/>
      <c r="H4" s="16" t="s">
        <v>515</v>
      </c>
      <c r="I4" s="118" t="s">
        <v>519</v>
      </c>
      <c r="J4" s="55"/>
    </row>
    <row r="5" spans="1:10" ht="12.75">
      <c r="A5" s="4"/>
      <c r="B5" s="19"/>
      <c r="C5" s="19"/>
      <c r="D5" s="19"/>
      <c r="E5" s="19"/>
      <c r="F5" s="19"/>
      <c r="G5" s="19"/>
      <c r="H5" s="19"/>
      <c r="I5" s="48"/>
      <c r="J5" s="55"/>
    </row>
    <row r="6" spans="1:10" ht="12.75">
      <c r="A6" s="5" t="s">
        <v>3</v>
      </c>
      <c r="B6" s="19"/>
      <c r="C6" s="16" t="str">
        <f>'Stavební rozpočet'!D6</f>
        <v>Litvínov</v>
      </c>
      <c r="D6" s="19"/>
      <c r="E6" s="16" t="s">
        <v>394</v>
      </c>
      <c r="F6" s="16" t="str">
        <f>'Stavební rozpočet'!J6</f>
        <v>výběrové řízení</v>
      </c>
      <c r="G6" s="19"/>
      <c r="H6" s="16" t="s">
        <v>515</v>
      </c>
      <c r="I6" s="118"/>
      <c r="J6" s="55"/>
    </row>
    <row r="7" spans="1:10" ht="12.75">
      <c r="A7" s="4"/>
      <c r="B7" s="19"/>
      <c r="C7" s="19"/>
      <c r="D7" s="19"/>
      <c r="E7" s="19"/>
      <c r="F7" s="19"/>
      <c r="G7" s="19"/>
      <c r="H7" s="19"/>
      <c r="I7" s="48"/>
      <c r="J7" s="55"/>
    </row>
    <row r="8" spans="1:10" ht="12.75">
      <c r="A8" s="5" t="s">
        <v>370</v>
      </c>
      <c r="B8" s="19"/>
      <c r="C8" s="16" t="str">
        <f>'Stavební rozpočet'!G4</f>
        <v>02.07.2018</v>
      </c>
      <c r="D8" s="19"/>
      <c r="E8" s="16" t="s">
        <v>371</v>
      </c>
      <c r="F8" s="16" t="str">
        <f>'Stavební rozpočet'!G6</f>
        <v>31.08.2018</v>
      </c>
      <c r="G8" s="19"/>
      <c r="H8" s="29" t="s">
        <v>516</v>
      </c>
      <c r="I8" s="118" t="s">
        <v>120</v>
      </c>
      <c r="J8" s="55"/>
    </row>
    <row r="9" spans="1:10" ht="12.75">
      <c r="A9" s="4"/>
      <c r="B9" s="19"/>
      <c r="C9" s="19"/>
      <c r="D9" s="19"/>
      <c r="E9" s="19"/>
      <c r="F9" s="19"/>
      <c r="G9" s="19"/>
      <c r="H9" s="19"/>
      <c r="I9" s="48"/>
      <c r="J9" s="55"/>
    </row>
    <row r="10" spans="1:10" ht="12.75">
      <c r="A10" s="5" t="s">
        <v>4</v>
      </c>
      <c r="B10" s="19"/>
      <c r="C10" s="16">
        <f>'Stavební rozpočet'!D8</f>
        <v>8013123</v>
      </c>
      <c r="D10" s="19"/>
      <c r="E10" s="16" t="s">
        <v>395</v>
      </c>
      <c r="F10" s="16" t="str">
        <f>'Stavební rozpočet'!J8</f>
        <v>Šefl</v>
      </c>
      <c r="G10" s="19"/>
      <c r="H10" s="29" t="s">
        <v>517</v>
      </c>
      <c r="I10" s="122" t="str">
        <f>'Stavební rozpočet'!G8</f>
        <v>18.04.2018</v>
      </c>
      <c r="J10" s="55"/>
    </row>
    <row r="11" spans="1:10" ht="12.75">
      <c r="A11" s="81"/>
      <c r="B11" s="93"/>
      <c r="C11" s="93"/>
      <c r="D11" s="93"/>
      <c r="E11" s="93"/>
      <c r="F11" s="93"/>
      <c r="G11" s="93"/>
      <c r="H11" s="93"/>
      <c r="I11" s="119"/>
      <c r="J11" s="55"/>
    </row>
    <row r="12" spans="1:9" ht="23.25" customHeight="1">
      <c r="A12" s="82" t="s">
        <v>475</v>
      </c>
      <c r="B12" s="94"/>
      <c r="C12" s="94"/>
      <c r="D12" s="94"/>
      <c r="E12" s="94"/>
      <c r="F12" s="94"/>
      <c r="G12" s="94"/>
      <c r="H12" s="94"/>
      <c r="I12" s="94"/>
    </row>
    <row r="13" spans="1:10" ht="26.25" customHeight="1">
      <c r="A13" s="83" t="s">
        <v>476</v>
      </c>
      <c r="B13" s="95" t="s">
        <v>488</v>
      </c>
      <c r="C13" s="104"/>
      <c r="D13" s="83" t="s">
        <v>491</v>
      </c>
      <c r="E13" s="95" t="s">
        <v>500</v>
      </c>
      <c r="F13" s="104"/>
      <c r="G13" s="83" t="s">
        <v>501</v>
      </c>
      <c r="H13" s="95" t="s">
        <v>518</v>
      </c>
      <c r="I13" s="104"/>
      <c r="J13" s="55"/>
    </row>
    <row r="14" spans="1:10" ht="15" customHeight="1">
      <c r="A14" s="84" t="s">
        <v>477</v>
      </c>
      <c r="B14" s="96" t="s">
        <v>489</v>
      </c>
      <c r="C14" s="112">
        <f>SUM('Stavební rozpočet'!R12:R137)</f>
        <v>0</v>
      </c>
      <c r="D14" s="109" t="s">
        <v>492</v>
      </c>
      <c r="E14" s="111"/>
      <c r="F14" s="112">
        <v>0</v>
      </c>
      <c r="G14" s="109" t="s">
        <v>502</v>
      </c>
      <c r="H14" s="111"/>
      <c r="I14" s="112">
        <v>0</v>
      </c>
      <c r="J14" s="55"/>
    </row>
    <row r="15" spans="1:10" ht="15" customHeight="1">
      <c r="A15" s="85"/>
      <c r="B15" s="96" t="s">
        <v>396</v>
      </c>
      <c r="C15" s="112">
        <f>SUM('Stavební rozpočet'!S12:S137)</f>
        <v>0</v>
      </c>
      <c r="D15" s="109" t="s">
        <v>493</v>
      </c>
      <c r="E15" s="111"/>
      <c r="F15" s="112">
        <v>0</v>
      </c>
      <c r="G15" s="109" t="s">
        <v>503</v>
      </c>
      <c r="H15" s="111"/>
      <c r="I15" s="112">
        <v>0</v>
      </c>
      <c r="J15" s="55"/>
    </row>
    <row r="16" spans="1:10" ht="15" customHeight="1">
      <c r="A16" s="84" t="s">
        <v>478</v>
      </c>
      <c r="B16" s="96" t="s">
        <v>489</v>
      </c>
      <c r="C16" s="112">
        <f>SUM('Stavební rozpočet'!T12:T137)</f>
        <v>0</v>
      </c>
      <c r="D16" s="109" t="s">
        <v>494</v>
      </c>
      <c r="E16" s="111"/>
      <c r="F16" s="112">
        <v>0</v>
      </c>
      <c r="G16" s="109" t="s">
        <v>504</v>
      </c>
      <c r="H16" s="111"/>
      <c r="I16" s="112">
        <v>0</v>
      </c>
      <c r="J16" s="55"/>
    </row>
    <row r="17" spans="1:10" ht="15" customHeight="1">
      <c r="A17" s="85"/>
      <c r="B17" s="96" t="s">
        <v>396</v>
      </c>
      <c r="C17" s="112">
        <f>SUM('Stavební rozpočet'!U12:U137)</f>
        <v>0</v>
      </c>
      <c r="D17" s="109"/>
      <c r="E17" s="111"/>
      <c r="F17" s="113"/>
      <c r="G17" s="109" t="s">
        <v>505</v>
      </c>
      <c r="H17" s="111"/>
      <c r="I17" s="112">
        <v>0</v>
      </c>
      <c r="J17" s="55"/>
    </row>
    <row r="18" spans="1:10" ht="15" customHeight="1">
      <c r="A18" s="84" t="s">
        <v>479</v>
      </c>
      <c r="B18" s="96" t="s">
        <v>489</v>
      </c>
      <c r="C18" s="112">
        <f>SUM('Stavební rozpočet'!V12:V137)</f>
        <v>0</v>
      </c>
      <c r="D18" s="109"/>
      <c r="E18" s="111"/>
      <c r="F18" s="113"/>
      <c r="G18" s="109" t="s">
        <v>506</v>
      </c>
      <c r="H18" s="111"/>
      <c r="I18" s="112">
        <v>0</v>
      </c>
      <c r="J18" s="55"/>
    </row>
    <row r="19" spans="1:10" ht="15" customHeight="1">
      <c r="A19" s="85"/>
      <c r="B19" s="96" t="s">
        <v>396</v>
      </c>
      <c r="C19" s="112">
        <f>SUM('Stavební rozpočet'!W12:W137)</f>
        <v>0</v>
      </c>
      <c r="D19" s="109"/>
      <c r="E19" s="111"/>
      <c r="F19" s="113"/>
      <c r="G19" s="109" t="s">
        <v>507</v>
      </c>
      <c r="H19" s="111"/>
      <c r="I19" s="112">
        <v>0</v>
      </c>
      <c r="J19" s="55"/>
    </row>
    <row r="20" spans="1:10" ht="15" customHeight="1">
      <c r="A20" s="86" t="s">
        <v>480</v>
      </c>
      <c r="B20" s="97"/>
      <c r="C20" s="112">
        <f>SUM('Stavební rozpočet'!X12:X137)</f>
        <v>0</v>
      </c>
      <c r="D20" s="109"/>
      <c r="E20" s="111"/>
      <c r="F20" s="113"/>
      <c r="G20" s="109"/>
      <c r="H20" s="111"/>
      <c r="I20" s="113"/>
      <c r="J20" s="55"/>
    </row>
    <row r="21" spans="1:10" ht="15" customHeight="1">
      <c r="A21" s="86" t="s">
        <v>481</v>
      </c>
      <c r="B21" s="97"/>
      <c r="C21" s="112">
        <f>SUM('Stavební rozpočet'!P12:P137)</f>
        <v>0</v>
      </c>
      <c r="D21" s="109"/>
      <c r="E21" s="111"/>
      <c r="F21" s="113"/>
      <c r="G21" s="109"/>
      <c r="H21" s="111"/>
      <c r="I21" s="113"/>
      <c r="J21" s="55"/>
    </row>
    <row r="22" spans="1:10" ht="16.5" customHeight="1">
      <c r="A22" s="86" t="s">
        <v>482</v>
      </c>
      <c r="B22" s="97"/>
      <c r="C22" s="112">
        <f>SUM(C14:C21)</f>
        <v>0</v>
      </c>
      <c r="D22" s="86" t="s">
        <v>495</v>
      </c>
      <c r="E22" s="97"/>
      <c r="F22" s="112">
        <f>SUM(F14:F21)</f>
        <v>0</v>
      </c>
      <c r="G22" s="86" t="s">
        <v>508</v>
      </c>
      <c r="H22" s="97"/>
      <c r="I22" s="112">
        <f>SUM(I14:I21)</f>
        <v>0</v>
      </c>
      <c r="J22" s="55"/>
    </row>
    <row r="23" spans="1:10" ht="15" customHeight="1">
      <c r="A23" s="14"/>
      <c r="B23" s="14"/>
      <c r="C23" s="105"/>
      <c r="D23" s="86" t="s">
        <v>496</v>
      </c>
      <c r="E23" s="97"/>
      <c r="F23" s="114">
        <v>0</v>
      </c>
      <c r="G23" s="86" t="s">
        <v>509</v>
      </c>
      <c r="H23" s="97"/>
      <c r="I23" s="112">
        <v>0</v>
      </c>
      <c r="J23" s="55"/>
    </row>
    <row r="24" spans="4:9" ht="15" customHeight="1">
      <c r="D24" s="14"/>
      <c r="E24" s="14"/>
      <c r="F24" s="115"/>
      <c r="G24" s="86" t="s">
        <v>510</v>
      </c>
      <c r="H24" s="97"/>
      <c r="I24" s="120"/>
    </row>
    <row r="25" spans="6:10" ht="15" customHeight="1">
      <c r="F25" s="116"/>
      <c r="G25" s="86" t="s">
        <v>511</v>
      </c>
      <c r="H25" s="97"/>
      <c r="I25" s="112">
        <v>0</v>
      </c>
      <c r="J25" s="55"/>
    </row>
    <row r="26" spans="1:9" ht="12.75">
      <c r="A26" s="80"/>
      <c r="B26" s="80"/>
      <c r="C26" s="80"/>
      <c r="G26" s="14"/>
      <c r="H26" s="14"/>
      <c r="I26" s="14"/>
    </row>
    <row r="27" spans="1:9" ht="15" customHeight="1">
      <c r="A27" s="87" t="s">
        <v>483</v>
      </c>
      <c r="B27" s="98"/>
      <c r="C27" s="121">
        <f>SUM('Stavební rozpočet'!Z12:Z137)</f>
        <v>0</v>
      </c>
      <c r="D27" s="110"/>
      <c r="E27" s="80"/>
      <c r="F27" s="80"/>
      <c r="G27" s="80"/>
      <c r="H27" s="80"/>
      <c r="I27" s="80"/>
    </row>
    <row r="28" spans="1:10" ht="15" customHeight="1">
      <c r="A28" s="87" t="s">
        <v>484</v>
      </c>
      <c r="B28" s="98"/>
      <c r="C28" s="121">
        <f>SUM('Stavební rozpočet'!AA12:AA137)</f>
        <v>0</v>
      </c>
      <c r="D28" s="87" t="s">
        <v>497</v>
      </c>
      <c r="E28" s="98"/>
      <c r="F28" s="121">
        <f>ROUND(C28*(15/100),2)</f>
        <v>0</v>
      </c>
      <c r="G28" s="87" t="s">
        <v>512</v>
      </c>
      <c r="H28" s="98"/>
      <c r="I28" s="121">
        <f>SUM(C27:C29)</f>
        <v>0</v>
      </c>
      <c r="J28" s="55"/>
    </row>
    <row r="29" spans="1:10" ht="15" customHeight="1">
      <c r="A29" s="87" t="s">
        <v>485</v>
      </c>
      <c r="B29" s="98"/>
      <c r="C29" s="121">
        <f>SUM('Stavební rozpočet'!AB12:AB137)+(F22+I22+F23+I23+I24+I25)</f>
        <v>0</v>
      </c>
      <c r="D29" s="87" t="s">
        <v>498</v>
      </c>
      <c r="E29" s="98"/>
      <c r="F29" s="121">
        <f>ROUND(C29*(21/100),2)</f>
        <v>0</v>
      </c>
      <c r="G29" s="87" t="s">
        <v>513</v>
      </c>
      <c r="H29" s="98"/>
      <c r="I29" s="121">
        <f>SUM(F28:F29)+I28</f>
        <v>0</v>
      </c>
      <c r="J29" s="55"/>
    </row>
    <row r="30" spans="1:9" ht="12.75">
      <c r="A30" s="88"/>
      <c r="B30" s="88"/>
      <c r="C30" s="88"/>
      <c r="D30" s="88"/>
      <c r="E30" s="88"/>
      <c r="F30" s="88"/>
      <c r="G30" s="88"/>
      <c r="H30" s="88"/>
      <c r="I30" s="88"/>
    </row>
    <row r="31" spans="1:10" ht="14.25" customHeight="1">
      <c r="A31" s="89" t="s">
        <v>486</v>
      </c>
      <c r="B31" s="99"/>
      <c r="C31" s="106"/>
      <c r="D31" s="89" t="s">
        <v>499</v>
      </c>
      <c r="E31" s="99"/>
      <c r="F31" s="106"/>
      <c r="G31" s="89" t="s">
        <v>514</v>
      </c>
      <c r="H31" s="99"/>
      <c r="I31" s="106"/>
      <c r="J31" s="56"/>
    </row>
    <row r="32" spans="1:10" ht="14.25" customHeight="1">
      <c r="A32" s="90"/>
      <c r="B32" s="100"/>
      <c r="C32" s="107"/>
      <c r="D32" s="90"/>
      <c r="E32" s="100"/>
      <c r="F32" s="107"/>
      <c r="G32" s="90"/>
      <c r="H32" s="100"/>
      <c r="I32" s="107"/>
      <c r="J32" s="56"/>
    </row>
    <row r="33" spans="1:10" ht="14.25" customHeight="1">
      <c r="A33" s="90"/>
      <c r="B33" s="100"/>
      <c r="C33" s="107"/>
      <c r="D33" s="90"/>
      <c r="E33" s="100"/>
      <c r="F33" s="107"/>
      <c r="G33" s="90"/>
      <c r="H33" s="100"/>
      <c r="I33" s="107"/>
      <c r="J33" s="56"/>
    </row>
    <row r="34" spans="1:10" ht="14.25" customHeight="1">
      <c r="A34" s="90"/>
      <c r="B34" s="100"/>
      <c r="C34" s="107"/>
      <c r="D34" s="90"/>
      <c r="E34" s="100"/>
      <c r="F34" s="107"/>
      <c r="G34" s="90"/>
      <c r="H34" s="100"/>
      <c r="I34" s="107"/>
      <c r="J34" s="56"/>
    </row>
    <row r="35" spans="1:10" ht="14.25" customHeight="1">
      <c r="A35" s="91" t="s">
        <v>487</v>
      </c>
      <c r="B35" s="101"/>
      <c r="C35" s="108"/>
      <c r="D35" s="91" t="s">
        <v>487</v>
      </c>
      <c r="E35" s="101"/>
      <c r="F35" s="108"/>
      <c r="G35" s="91" t="s">
        <v>487</v>
      </c>
      <c r="H35" s="101"/>
      <c r="I35" s="108"/>
      <c r="J35" s="56"/>
    </row>
    <row r="36" spans="1:9" ht="11.25" customHeight="1">
      <c r="A36" s="92" t="s">
        <v>121</v>
      </c>
      <c r="B36" s="102"/>
      <c r="C36" s="102"/>
      <c r="D36" s="102"/>
      <c r="E36" s="102"/>
      <c r="F36" s="102"/>
      <c r="G36" s="102"/>
      <c r="H36" s="102"/>
      <c r="I36" s="102"/>
    </row>
    <row r="37" spans="1:9" ht="12.75">
      <c r="A37" s="16"/>
      <c r="B37" s="19"/>
      <c r="C37" s="19"/>
      <c r="D37" s="19"/>
      <c r="E37" s="19"/>
      <c r="F37" s="19"/>
      <c r="G37" s="19"/>
      <c r="H37" s="19"/>
      <c r="I37" s="1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