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  <sheet name="Výkaz výměr" sheetId="4" r:id="rId4"/>
  </sheets>
  <definedNames/>
  <calcPr fullCalcOnLoad="1"/>
</workbook>
</file>

<file path=xl/sharedStrings.xml><?xml version="1.0" encoding="utf-8"?>
<sst xmlns="http://schemas.openxmlformats.org/spreadsheetml/2006/main" count="581" uniqueCount="212">
  <si>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</si>
  <si>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</si>
  <si>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</si>
  <si>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</si>
  <si>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</si>
  <si>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</si>
  <si>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</si>
  <si>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</si>
  <si>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</si>
  <si>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</si>
  <si>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</si>
  <si>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</si>
  <si>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</si>
  <si>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</si>
  <si>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</si>
  <si>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</si>
  <si>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</si>
  <si>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</si>
  <si>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</si>
  <si>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</si>
  <si>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</si>
  <si>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</si>
  <si>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</si>
  <si>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</si>
  <si>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</si>
  <si>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</si>
  <si>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</si>
  <si>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</si>
  <si>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</si>
  <si>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</si>
  <si>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</si>
  <si>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</si>
  <si>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</si>
  <si>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Poznámka:</t>
  </si>
  <si>
    <t>Objekt</t>
  </si>
  <si>
    <t>Kód</t>
  </si>
  <si>
    <t>733</t>
  </si>
  <si>
    <t>733110803R00</t>
  </si>
  <si>
    <t>733890801R00</t>
  </si>
  <si>
    <t>733111104R00</t>
  </si>
  <si>
    <t>733111103R00</t>
  </si>
  <si>
    <t>733190106R00</t>
  </si>
  <si>
    <t>733191111R00</t>
  </si>
  <si>
    <t>998733101R00</t>
  </si>
  <si>
    <t>734</t>
  </si>
  <si>
    <t>734223112RT1</t>
  </si>
  <si>
    <t>734263132R00</t>
  </si>
  <si>
    <t>734291972R00</t>
  </si>
  <si>
    <t>734295311R00</t>
  </si>
  <si>
    <t>998734101R00</t>
  </si>
  <si>
    <t>735</t>
  </si>
  <si>
    <t>735111810R00</t>
  </si>
  <si>
    <t>735890801R00</t>
  </si>
  <si>
    <t>735494811R00</t>
  </si>
  <si>
    <t>735156768R00</t>
  </si>
  <si>
    <t>735156664R00</t>
  </si>
  <si>
    <t>735000912R00</t>
  </si>
  <si>
    <t>735153300R00</t>
  </si>
  <si>
    <t>998735101R00</t>
  </si>
  <si>
    <t>783</t>
  </si>
  <si>
    <t>783424140R00</t>
  </si>
  <si>
    <t>90</t>
  </si>
  <si>
    <t>904      R02</t>
  </si>
  <si>
    <t>S</t>
  </si>
  <si>
    <t>979086213R00</t>
  </si>
  <si>
    <t>979081111R00</t>
  </si>
  <si>
    <t>979081121R00</t>
  </si>
  <si>
    <t>Stavební úpravy vnitřních prostor MŠ LADOVA 1676 v Litvínově</t>
  </si>
  <si>
    <t>VYTÁPĚNÍ</t>
  </si>
  <si>
    <t>Litvínov</t>
  </si>
  <si>
    <t>Zkrácený popis / Varianta</t>
  </si>
  <si>
    <t>Rozměry</t>
  </si>
  <si>
    <t>Rozvod potrubí</t>
  </si>
  <si>
    <t>Demontáž potrubí ocelového závitového do DN 15</t>
  </si>
  <si>
    <t>Přemístění vybouraných hmot - potrubí, H do 6 m</t>
  </si>
  <si>
    <t>Potrubí závitové bezešvé běžné nízkotlaké DN 20</t>
  </si>
  <si>
    <t>Potrubí závitové bezešvé běžné nízkotlaké DN 15</t>
  </si>
  <si>
    <t>Tlaková zkouška potrubí  do DN 32</t>
  </si>
  <si>
    <t>Manžety prostupové pro trubky do DN 20</t>
  </si>
  <si>
    <t>Přesun hmot pro rozvody potrubí, výšky do 6 m</t>
  </si>
  <si>
    <t>Armatury</t>
  </si>
  <si>
    <t>Ventil termostatický, rohový, DN 15</t>
  </si>
  <si>
    <t>bez termostatické hlavice</t>
  </si>
  <si>
    <t>Šroubení regulační, přímé, DN 15</t>
  </si>
  <si>
    <t>Hlavice ovládání term.ventilů termostatické s oddáleným ovládáním</t>
  </si>
  <si>
    <t>Kohout kul.vypouštěcí,komplet, DN 10</t>
  </si>
  <si>
    <t>Přesun hmot pro armatury, výšky do 6 m</t>
  </si>
  <si>
    <t>Otopná tělesa</t>
  </si>
  <si>
    <t>Demontáž těles otopných litinových článkových</t>
  </si>
  <si>
    <t>Přemístění demont. hmot - otop. těles, H do 6 m</t>
  </si>
  <si>
    <t>Vypuštění vody z otopných těles</t>
  </si>
  <si>
    <t>Otopná tělesa panelová 33  600/1400</t>
  </si>
  <si>
    <t>Otopná tělesa panelová 22  600/ 800</t>
  </si>
  <si>
    <t>Vyregulování ventilů s termost.ovládáním</t>
  </si>
  <si>
    <t>Příplatek za odvzdušňovací ventil</t>
  </si>
  <si>
    <t>Přesun hmot pro otopná tělesa, výšky do 6 m</t>
  </si>
  <si>
    <t>Nátěry</t>
  </si>
  <si>
    <t>Nátěr syntetický potrubí do DN 50 mm  Z + 2x</t>
  </si>
  <si>
    <t>Hodinové zúčtovací sazby (HZS)</t>
  </si>
  <si>
    <t>Hzs-zkousky v ramci montaz.praci</t>
  </si>
  <si>
    <t xml:space="preserve">Topná zkouška dle ČSN 06 0310
napouštění a vypouštění topného systému
</t>
  </si>
  <si>
    <t>Přesuny sutí</t>
  </si>
  <si>
    <t>Nakládání vybouraných hmot na dopravní prostředek</t>
  </si>
  <si>
    <t>Odvoz suti a vybour. hmot na skládku do 1 km</t>
  </si>
  <si>
    <t>Příplatek k odvozu za každý další 1 km</t>
  </si>
  <si>
    <t>Doba výstavby:</t>
  </si>
  <si>
    <t>Začátek výstavby:</t>
  </si>
  <si>
    <t>Konec výstavby:</t>
  </si>
  <si>
    <t>Zpracováno dne:</t>
  </si>
  <si>
    <t>M.j.</t>
  </si>
  <si>
    <t>m</t>
  </si>
  <si>
    <t>t</t>
  </si>
  <si>
    <t>kus</t>
  </si>
  <si>
    <t>m2</t>
  </si>
  <si>
    <t>h</t>
  </si>
  <si>
    <t>Množství</t>
  </si>
  <si>
    <t>11.02.2018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</si>
  <si>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</si>
  <si>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</si>
  <si>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</si>
  <si>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</si>
  <si>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</si>
  <si>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</si>
  <si>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</si>
  <si>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</si>
  <si>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</si>
  <si>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</si>
  <si>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Město Litvínov, Náměstí Míru 11, Litvínov</t>
  </si>
  <si>
    <t>Ing. Radek Fokt</t>
  </si>
  <si>
    <t>Celkem</t>
  </si>
  <si>
    <t>Hmotnost (t)</t>
  </si>
  <si>
    <t>Cenová</t>
  </si>
  <si>
    <t>soustava</t>
  </si>
  <si>
    <t>RTS I / 2018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</si>
  <si>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</si>
  <si>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</si>
  <si>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</si>
  <si>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</si>
  <si>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</si>
  <si>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</si>
  <si>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</si>
  <si>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</si>
  <si>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</si>
  <si>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</si>
  <si>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733_</t>
  </si>
  <si>
    <t>734_</t>
  </si>
  <si>
    <t>735_</t>
  </si>
  <si>
    <t>783_</t>
  </si>
  <si>
    <t>90_</t>
  </si>
  <si>
    <t>S_</t>
  </si>
  <si>
    <t>73_</t>
  </si>
  <si>
    <t>78_</t>
  </si>
  <si>
    <t>9_</t>
  </si>
  <si>
    <t>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</si>
  <si>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</si>
  <si>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</si>
  <si>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</si>
  <si>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</si>
  <si>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</si>
  <si>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</si>
  <si>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</si>
  <si>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</si>
  <si>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8+4</t>
  </si>
  <si>
    <t>28*0,185</t>
  </si>
  <si>
    <t>0,1233+0,0071</t>
  </si>
  <si>
    <t>20*(0,1233+0,0071)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</si>
  <si>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</si>
  <si>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</si>
  <si>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</si>
  <si>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</si>
  <si>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</si>
  <si>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</si>
  <si>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</si>
  <si>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</si>
  <si>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</si>
  <si>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</si>
  <si>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</si>
  <si>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</si>
  <si>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</si>
  <si>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</si>
  <si>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</si>
  <si>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</si>
  <si>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</si>
  <si>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</si>
  <si>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</si>
  <si>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</si>
  <si>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</si>
  <si>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</si>
  <si>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</si>
  <si>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</si>
  <si>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</si>
  <si>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</si>
  <si>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</si>
  <si>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</si>
  <si>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</si>
  <si>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</si>
  <si>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</si>
  <si>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</si>
  <si>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</si>
  <si>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</si>
  <si>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</si>
  <si>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</si>
  <si>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</si>
  <si>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</si>
  <si>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</si>
  <si>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</si>
  <si>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</si>
  <si>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</si>
  <si>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</si>
  <si>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</si>
  <si>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</si>
  <si>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43242995/CZ7110192782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</si>
</sst>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1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1" fillId="0" borderId="37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49" fontId="11" fillId="34" borderId="37" xfId="0" applyNumberFormat="1" applyFont="1" applyFill="1" applyBorder="1" applyAlignment="1" applyProtection="1">
      <alignment horizontal="left" vertical="center"/>
      <protection/>
    </xf>
    <xf numFmtId="0" fontId="11" fillId="34" borderId="49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5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800000"/>
      <rgbColor rgb="00008000"/>
      <rgbColor rgb="00800000"/>
      <rgbColor rgb="00000000"/>
      <rgbColor rgb="000000D7"/>
      <rgbColor rgb="00808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7"/>
      <c r="B1" s="50"/>
      <c r="C1" s="97" t="s">
        <v>182</v>
      </c>
      <c r="D1" s="69"/>
      <c r="E1" s="69"/>
      <c r="F1" s="69"/>
      <c r="G1" s="69"/>
      <c r="H1" s="69"/>
      <c r="I1" s="69"/>
    </row>
    <row r="2" spans="1:10" ht="12.75">
      <c r="A2" s="70" t="s">
        <v>1</v>
      </c>
      <c r="B2" s="71"/>
      <c r="C2" s="74" t="str">
        <f>'Stavební rozpočet'!D2</f>
        <v>Stavební úpravy vnitřních prostor MŠ LADOVA 1676 v Litvínově</v>
      </c>
      <c r="D2" s="90"/>
      <c r="E2" s="77" t="s">
        <v>122</v>
      </c>
      <c r="F2" s="77" t="str">
        <f>'Stavební rozpočet'!J2</f>
        <v>Město Litvínov, Náměstí Míru 11, Litvínov</v>
      </c>
      <c r="G2" s="71"/>
      <c r="H2" s="77" t="s">
        <v>207</v>
      </c>
      <c r="I2" s="98"/>
      <c r="J2" s="30"/>
    </row>
    <row r="3" spans="1:10" ht="12.75">
      <c r="A3" s="72"/>
      <c r="B3" s="73"/>
      <c r="C3" s="75"/>
      <c r="D3" s="75"/>
      <c r="E3" s="73"/>
      <c r="F3" s="73"/>
      <c r="G3" s="73"/>
      <c r="H3" s="73"/>
      <c r="I3" s="79"/>
      <c r="J3" s="30"/>
    </row>
    <row r="4" spans="1:10" ht="12.75">
      <c r="A4" s="80" t="s">
        <v>2</v>
      </c>
      <c r="B4" s="73"/>
      <c r="C4" s="81" t="str">
        <f>'Stavební rozpočet'!D4</f>
        <v>VYTÁPĚNÍ</v>
      </c>
      <c r="D4" s="73"/>
      <c r="E4" s="81" t="s">
        <v>123</v>
      </c>
      <c r="F4" s="81" t="str">
        <f>'Stavební rozpočet'!J4</f>
        <v>Ing. Radek Fokt</v>
      </c>
      <c r="G4" s="73"/>
      <c r="H4" s="81" t="s">
        <v>207</v>
      </c>
      <c r="I4" s="99" t="s">
        <v>211</v>
      </c>
      <c r="J4" s="30"/>
    </row>
    <row r="5" spans="1:10" ht="12.75">
      <c r="A5" s="72"/>
      <c r="B5" s="73"/>
      <c r="C5" s="73"/>
      <c r="D5" s="73"/>
      <c r="E5" s="73"/>
      <c r="F5" s="73"/>
      <c r="G5" s="73"/>
      <c r="H5" s="73"/>
      <c r="I5" s="79"/>
      <c r="J5" s="30"/>
    </row>
    <row r="6" spans="1:10" ht="12.75">
      <c r="A6" s="80" t="s">
        <v>3</v>
      </c>
      <c r="B6" s="73"/>
      <c r="C6" s="81" t="str">
        <f>'Stavební rozpočet'!D6</f>
        <v>Litvínov</v>
      </c>
      <c r="D6" s="73"/>
      <c r="E6" s="81" t="s">
        <v>124</v>
      </c>
      <c r="F6" s="81" t="str">
        <f>'Stavební rozpočet'!J6</f>
        <v> </v>
      </c>
      <c r="G6" s="73"/>
      <c r="H6" s="81" t="s">
        <v>207</v>
      </c>
      <c r="I6" s="99"/>
      <c r="J6" s="30"/>
    </row>
    <row r="7" spans="1:10" ht="12.75">
      <c r="A7" s="72"/>
      <c r="B7" s="73"/>
      <c r="C7" s="73"/>
      <c r="D7" s="73"/>
      <c r="E7" s="73"/>
      <c r="F7" s="73"/>
      <c r="G7" s="73"/>
      <c r="H7" s="73"/>
      <c r="I7" s="79"/>
      <c r="J7" s="30"/>
    </row>
    <row r="8" spans="1:10" ht="12.75">
      <c r="A8" s="80" t="s">
        <v>106</v>
      </c>
      <c r="B8" s="73"/>
      <c r="C8" s="81" t="str">
        <f>'Stavební rozpočet'!G4</f>
        <v> </v>
      </c>
      <c r="D8" s="73"/>
      <c r="E8" s="81" t="s">
        <v>107</v>
      </c>
      <c r="F8" s="81" t="str">
        <f>'Stavební rozpočet'!G6</f>
        <v> </v>
      </c>
      <c r="G8" s="73"/>
      <c r="H8" s="82" t="s">
        <v>208</v>
      </c>
      <c r="I8" s="99" t="s">
        <v>32</v>
      </c>
      <c r="J8" s="30"/>
    </row>
    <row r="9" spans="1:10" ht="12.75">
      <c r="A9" s="72"/>
      <c r="B9" s="73"/>
      <c r="C9" s="73"/>
      <c r="D9" s="73"/>
      <c r="E9" s="73"/>
      <c r="F9" s="73"/>
      <c r="G9" s="73"/>
      <c r="H9" s="73"/>
      <c r="I9" s="79"/>
      <c r="J9" s="30"/>
    </row>
    <row r="10" spans="1:10" ht="12.75">
      <c r="A10" s="80" t="s">
        <v>4</v>
      </c>
      <c r="B10" s="73"/>
      <c r="C10" s="81" t="str">
        <f>'Stavební rozpočet'!D8</f>
        <v> </v>
      </c>
      <c r="D10" s="73"/>
      <c r="E10" s="81" t="s">
        <v>125</v>
      </c>
      <c r="F10" s="81" t="str">
        <f>'Stavební rozpočet'!J8</f>
        <v>Ing. Radek Fokt</v>
      </c>
      <c r="G10" s="73"/>
      <c r="H10" s="82" t="s">
        <v>209</v>
      </c>
      <c r="I10" s="102" t="str">
        <f>'Stavební rozpočet'!G8</f>
        <v>11.02.2018</v>
      </c>
      <c r="J10" s="30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3"/>
      <c r="J11" s="30"/>
    </row>
    <row r="12" spans="1:9" ht="23.25" customHeight="1">
      <c r="A12" s="104" t="s">
        <v>167</v>
      </c>
      <c r="B12" s="105"/>
      <c r="C12" s="105"/>
      <c r="D12" s="105"/>
      <c r="E12" s="105"/>
      <c r="F12" s="105"/>
      <c r="G12" s="105"/>
      <c r="H12" s="105"/>
      <c r="I12" s="105"/>
    </row>
    <row r="13" spans="1:10" ht="26.25" customHeight="1">
      <c r="A13" s="51" t="s">
        <v>168</v>
      </c>
      <c r="B13" s="106" t="s">
        <v>180</v>
      </c>
      <c r="C13" s="107"/>
      <c r="D13" s="51" t="s">
        <v>183</v>
      </c>
      <c r="E13" s="106" t="s">
        <v>192</v>
      </c>
      <c r="F13" s="107"/>
      <c r="G13" s="51" t="s">
        <v>193</v>
      </c>
      <c r="H13" s="106" t="s">
        <v>210</v>
      </c>
      <c r="I13" s="107"/>
      <c r="J13" s="30"/>
    </row>
    <row r="14" spans="1:10" ht="15" customHeight="1">
      <c r="A14" s="52" t="s">
        <v>169</v>
      </c>
      <c r="B14" s="56" t="s">
        <v>181</v>
      </c>
      <c r="C14" s="60">
        <f>SUM('Stavební rozpočet'!R12:R45)</f>
        <v>0</v>
      </c>
      <c r="D14" s="108" t="s">
        <v>184</v>
      </c>
      <c r="E14" s="109"/>
      <c r="F14" s="60">
        <v>0</v>
      </c>
      <c r="G14" s="108" t="s">
        <v>194</v>
      </c>
      <c r="H14" s="109"/>
      <c r="I14" s="60">
        <v>0</v>
      </c>
      <c r="J14" s="30"/>
    </row>
    <row r="15" spans="1:10" ht="15" customHeight="1">
      <c r="A15" s="53"/>
      <c r="B15" s="56" t="s">
        <v>126</v>
      </c>
      <c r="C15" s="60">
        <f>SUM('Stavební rozpočet'!S12:S45)</f>
        <v>0</v>
      </c>
      <c r="D15" s="108" t="s">
        <v>185</v>
      </c>
      <c r="E15" s="109"/>
      <c r="F15" s="60">
        <v>0</v>
      </c>
      <c r="G15" s="108" t="s">
        <v>195</v>
      </c>
      <c r="H15" s="109"/>
      <c r="I15" s="60">
        <v>0</v>
      </c>
      <c r="J15" s="30"/>
    </row>
    <row r="16" spans="1:10" ht="15" customHeight="1">
      <c r="A16" s="52" t="s">
        <v>170</v>
      </c>
      <c r="B16" s="56" t="s">
        <v>181</v>
      </c>
      <c r="C16" s="60">
        <f>SUM('Stavební rozpočet'!T12:T45)</f>
        <v>0</v>
      </c>
      <c r="D16" s="108" t="s">
        <v>186</v>
      </c>
      <c r="E16" s="109"/>
      <c r="F16" s="60">
        <v>0</v>
      </c>
      <c r="G16" s="108" t="s">
        <v>196</v>
      </c>
      <c r="H16" s="109"/>
      <c r="I16" s="60">
        <v>0</v>
      </c>
      <c r="J16" s="30"/>
    </row>
    <row r="17" spans="1:10" ht="15" customHeight="1">
      <c r="A17" s="53"/>
      <c r="B17" s="56" t="s">
        <v>126</v>
      </c>
      <c r="C17" s="60">
        <f>SUM('Stavební rozpočet'!U12:U45)</f>
        <v>0</v>
      </c>
      <c r="D17" s="108"/>
      <c r="E17" s="109"/>
      <c r="F17" s="61"/>
      <c r="G17" s="108" t="s">
        <v>197</v>
      </c>
      <c r="H17" s="109"/>
      <c r="I17" s="60">
        <v>0</v>
      </c>
      <c r="J17" s="30"/>
    </row>
    <row r="18" spans="1:10" ht="15" customHeight="1">
      <c r="A18" s="52" t="s">
        <v>171</v>
      </c>
      <c r="B18" s="56" t="s">
        <v>181</v>
      </c>
      <c r="C18" s="60">
        <f>SUM('Stavební rozpočet'!V12:V45)</f>
        <v>0</v>
      </c>
      <c r="D18" s="108"/>
      <c r="E18" s="109"/>
      <c r="F18" s="61"/>
      <c r="G18" s="108" t="s">
        <v>198</v>
      </c>
      <c r="H18" s="109"/>
      <c r="I18" s="60">
        <v>0</v>
      </c>
      <c r="J18" s="30"/>
    </row>
    <row r="19" spans="1:10" ht="15" customHeight="1">
      <c r="A19" s="53"/>
      <c r="B19" s="56" t="s">
        <v>126</v>
      </c>
      <c r="C19" s="60">
        <f>SUM('Stavební rozpočet'!W12:W45)</f>
        <v>0</v>
      </c>
      <c r="D19" s="108"/>
      <c r="E19" s="109"/>
      <c r="F19" s="61"/>
      <c r="G19" s="108" t="s">
        <v>199</v>
      </c>
      <c r="H19" s="109"/>
      <c r="I19" s="60">
        <v>0</v>
      </c>
      <c r="J19" s="30"/>
    </row>
    <row r="20" spans="1:10" ht="15" customHeight="1">
      <c r="A20" s="110" t="s">
        <v>172</v>
      </c>
      <c r="B20" s="111"/>
      <c r="C20" s="60">
        <f>SUM('Stavební rozpočet'!X12:X45)</f>
        <v>0</v>
      </c>
      <c r="D20" s="108"/>
      <c r="E20" s="109"/>
      <c r="F20" s="61"/>
      <c r="G20" s="108"/>
      <c r="H20" s="109"/>
      <c r="I20" s="61"/>
      <c r="J20" s="30"/>
    </row>
    <row r="21" spans="1:10" ht="15" customHeight="1">
      <c r="A21" s="110" t="s">
        <v>173</v>
      </c>
      <c r="B21" s="111"/>
      <c r="C21" s="60">
        <f>SUM('Stavební rozpočet'!P12:P45)</f>
        <v>0</v>
      </c>
      <c r="D21" s="108"/>
      <c r="E21" s="109"/>
      <c r="F21" s="61"/>
      <c r="G21" s="108"/>
      <c r="H21" s="109"/>
      <c r="I21" s="61"/>
      <c r="J21" s="30"/>
    </row>
    <row r="22" spans="1:10" ht="16.5" customHeight="1">
      <c r="A22" s="110" t="s">
        <v>174</v>
      </c>
      <c r="B22" s="111"/>
      <c r="C22" s="60">
        <f>SUM(C14:C21)</f>
        <v>0</v>
      </c>
      <c r="D22" s="110" t="s">
        <v>187</v>
      </c>
      <c r="E22" s="111"/>
      <c r="F22" s="60">
        <f>SUM(F14:F21)</f>
        <v>0</v>
      </c>
      <c r="G22" s="110" t="s">
        <v>200</v>
      </c>
      <c r="H22" s="111"/>
      <c r="I22" s="60">
        <f>ROUND(C22*(3.25/100),2)</f>
        <v>0</v>
      </c>
      <c r="J22" s="30"/>
    </row>
    <row r="23" spans="1:10" ht="15" customHeight="1">
      <c r="A23" s="7"/>
      <c r="B23" s="7"/>
      <c r="C23" s="58"/>
      <c r="D23" s="110" t="s">
        <v>188</v>
      </c>
      <c r="E23" s="111"/>
      <c r="F23" s="62">
        <v>0</v>
      </c>
      <c r="G23" s="110" t="s">
        <v>201</v>
      </c>
      <c r="H23" s="111"/>
      <c r="I23" s="60">
        <v>0</v>
      </c>
      <c r="J23" s="30"/>
    </row>
    <row r="24" spans="4:9" ht="15" customHeight="1">
      <c r="D24" s="7"/>
      <c r="E24" s="7"/>
      <c r="F24" s="63"/>
      <c r="G24" s="110" t="s">
        <v>202</v>
      </c>
      <c r="H24" s="111"/>
      <c r="I24" s="65"/>
    </row>
    <row r="25" spans="6:10" ht="15" customHeight="1">
      <c r="F25" s="64"/>
      <c r="G25" s="110" t="s">
        <v>203</v>
      </c>
      <c r="H25" s="111"/>
      <c r="I25" s="60">
        <v>0</v>
      </c>
      <c r="J25" s="30"/>
    </row>
    <row r="26" spans="1:9" ht="12.75">
      <c r="A26" s="50"/>
      <c r="B26" s="50"/>
      <c r="C26" s="50"/>
      <c r="G26" s="7"/>
      <c r="H26" s="7"/>
      <c r="I26" s="7"/>
    </row>
    <row r="27" spans="1:9" ht="15" customHeight="1">
      <c r="A27" s="112" t="s">
        <v>175</v>
      </c>
      <c r="B27" s="113"/>
      <c r="C27" s="66">
        <f>SUM('Stavební rozpočet'!Z12:Z45)</f>
        <v>0</v>
      </c>
      <c r="D27" s="59"/>
      <c r="E27" s="50"/>
      <c r="F27" s="50"/>
      <c r="G27" s="50"/>
      <c r="H27" s="50"/>
      <c r="I27" s="50"/>
    </row>
    <row r="28" spans="1:10" ht="15" customHeight="1">
      <c r="A28" s="112" t="s">
        <v>176</v>
      </c>
      <c r="B28" s="113"/>
      <c r="C28" s="66">
        <f>SUM('Stavební rozpočet'!AA12:AA45)</f>
        <v>0</v>
      </c>
      <c r="D28" s="112" t="s">
        <v>189</v>
      </c>
      <c r="E28" s="113"/>
      <c r="F28" s="66">
        <f>ROUND(C28*(15/100),2)</f>
        <v>0</v>
      </c>
      <c r="G28" s="112" t="s">
        <v>204</v>
      </c>
      <c r="H28" s="113"/>
      <c r="I28" s="66">
        <f>SUM(C27:C29)</f>
        <v>0</v>
      </c>
      <c r="J28" s="30"/>
    </row>
    <row r="29" spans="1:10" ht="15" customHeight="1">
      <c r="A29" s="112" t="s">
        <v>177</v>
      </c>
      <c r="B29" s="113"/>
      <c r="C29" s="66">
        <f>SUM('Stavební rozpočet'!AB12:AB45)+(F22+I22+F23+I23+I24+I25)</f>
        <v>0</v>
      </c>
      <c r="D29" s="112" t="s">
        <v>190</v>
      </c>
      <c r="E29" s="113"/>
      <c r="F29" s="66">
        <f>ROUND(C29*(21/100),2)</f>
        <v>0</v>
      </c>
      <c r="G29" s="112" t="s">
        <v>205</v>
      </c>
      <c r="H29" s="113"/>
      <c r="I29" s="66">
        <f>SUM(F28:F29)+I28</f>
        <v>0</v>
      </c>
      <c r="J29" s="30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25" customHeight="1">
      <c r="A31" s="114" t="s">
        <v>178</v>
      </c>
      <c r="B31" s="115"/>
      <c r="C31" s="116"/>
      <c r="D31" s="114" t="s">
        <v>191</v>
      </c>
      <c r="E31" s="115"/>
      <c r="F31" s="116"/>
      <c r="G31" s="114" t="s">
        <v>206</v>
      </c>
      <c r="H31" s="115"/>
      <c r="I31" s="116"/>
      <c r="J31" s="31"/>
    </row>
    <row r="32" spans="1:10" ht="14.25" customHeight="1">
      <c r="A32" s="117"/>
      <c r="B32" s="118"/>
      <c r="C32" s="119"/>
      <c r="D32" s="117"/>
      <c r="E32" s="118"/>
      <c r="F32" s="119"/>
      <c r="G32" s="117"/>
      <c r="H32" s="118"/>
      <c r="I32" s="119"/>
      <c r="J32" s="31"/>
    </row>
    <row r="33" spans="1:10" ht="14.25" customHeight="1">
      <c r="A33" s="117"/>
      <c r="B33" s="118"/>
      <c r="C33" s="119"/>
      <c r="D33" s="117"/>
      <c r="E33" s="118"/>
      <c r="F33" s="119"/>
      <c r="G33" s="117"/>
      <c r="H33" s="118"/>
      <c r="I33" s="119"/>
      <c r="J33" s="31"/>
    </row>
    <row r="34" spans="1:10" ht="14.25" customHeight="1">
      <c r="A34" s="117"/>
      <c r="B34" s="118"/>
      <c r="C34" s="119"/>
      <c r="D34" s="117"/>
      <c r="E34" s="118"/>
      <c r="F34" s="119"/>
      <c r="G34" s="117"/>
      <c r="H34" s="118"/>
      <c r="I34" s="119"/>
      <c r="J34" s="31"/>
    </row>
    <row r="35" spans="1:10" ht="14.25" customHeight="1">
      <c r="A35" s="120" t="s">
        <v>179</v>
      </c>
      <c r="B35" s="121"/>
      <c r="C35" s="122"/>
      <c r="D35" s="120" t="s">
        <v>179</v>
      </c>
      <c r="E35" s="121"/>
      <c r="F35" s="122"/>
      <c r="G35" s="120" t="s">
        <v>179</v>
      </c>
      <c r="H35" s="121"/>
      <c r="I35" s="122"/>
      <c r="J35" s="31"/>
    </row>
    <row r="36" spans="1:9" ht="11.25" customHeight="1">
      <c r="A36" s="55" t="s">
        <v>33</v>
      </c>
      <c r="B36" s="57"/>
      <c r="C36" s="57"/>
      <c r="D36" s="57"/>
      <c r="E36" s="57"/>
      <c r="F36" s="57"/>
      <c r="G36" s="57"/>
      <c r="H36" s="57"/>
      <c r="I36" s="57"/>
    </row>
    <row r="37" spans="1:9" ht="12.75">
      <c r="A37" s="81"/>
      <c r="B37" s="73"/>
      <c r="C37" s="73"/>
      <c r="D37" s="73"/>
      <c r="E37" s="73"/>
      <c r="F37" s="73"/>
      <c r="G37" s="73"/>
      <c r="H37" s="73"/>
      <c r="I37" s="7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68" t="s">
        <v>154</v>
      </c>
      <c r="B1" s="69"/>
      <c r="C1" s="69"/>
      <c r="D1" s="69"/>
      <c r="E1" s="69"/>
      <c r="F1" s="69"/>
      <c r="G1" s="69"/>
    </row>
    <row r="2" spans="1:8" ht="12.75">
      <c r="A2" s="70" t="s">
        <v>1</v>
      </c>
      <c r="B2" s="74" t="str">
        <f>'Stavební rozpočet'!D2</f>
        <v>Stavební úpravy vnitřních prostor MŠ LADOVA 1676 v Litvínově</v>
      </c>
      <c r="C2" s="90"/>
      <c r="D2" s="77" t="s">
        <v>122</v>
      </c>
      <c r="E2" s="77" t="str">
        <f>'Stavební rozpočet'!J2</f>
        <v>Město Litvínov, Náměstí Míru 11, Litvínov</v>
      </c>
      <c r="F2" s="71"/>
      <c r="G2" s="78"/>
      <c r="H2" s="30"/>
    </row>
    <row r="3" spans="1:8" ht="12.75">
      <c r="A3" s="72"/>
      <c r="B3" s="75"/>
      <c r="C3" s="75"/>
      <c r="D3" s="73"/>
      <c r="E3" s="73"/>
      <c r="F3" s="73"/>
      <c r="G3" s="79"/>
      <c r="H3" s="30"/>
    </row>
    <row r="4" spans="1:8" ht="12.75">
      <c r="A4" s="80" t="s">
        <v>2</v>
      </c>
      <c r="B4" s="81" t="str">
        <f>'Stavební rozpočet'!D4</f>
        <v>VYTÁPĚNÍ</v>
      </c>
      <c r="C4" s="73"/>
      <c r="D4" s="81" t="s">
        <v>123</v>
      </c>
      <c r="E4" s="81" t="str">
        <f>'Stavební rozpočet'!J4</f>
        <v>Ing. Radek Fokt</v>
      </c>
      <c r="F4" s="73"/>
      <c r="G4" s="79"/>
      <c r="H4" s="30"/>
    </row>
    <row r="5" spans="1:8" ht="12.75">
      <c r="A5" s="72"/>
      <c r="B5" s="73"/>
      <c r="C5" s="73"/>
      <c r="D5" s="73"/>
      <c r="E5" s="73"/>
      <c r="F5" s="73"/>
      <c r="G5" s="79"/>
      <c r="H5" s="30"/>
    </row>
    <row r="6" spans="1:8" ht="12.75">
      <c r="A6" s="80" t="s">
        <v>3</v>
      </c>
      <c r="B6" s="81" t="str">
        <f>'Stavební rozpočet'!D6</f>
        <v>Litvínov</v>
      </c>
      <c r="C6" s="73"/>
      <c r="D6" s="81" t="s">
        <v>124</v>
      </c>
      <c r="E6" s="81" t="str">
        <f>'Stavební rozpočet'!J6</f>
        <v> </v>
      </c>
      <c r="F6" s="73"/>
      <c r="G6" s="79"/>
      <c r="H6" s="30"/>
    </row>
    <row r="7" spans="1:8" ht="12.75">
      <c r="A7" s="72"/>
      <c r="B7" s="73"/>
      <c r="C7" s="73"/>
      <c r="D7" s="73"/>
      <c r="E7" s="73"/>
      <c r="F7" s="73"/>
      <c r="G7" s="79"/>
      <c r="H7" s="30"/>
    </row>
    <row r="8" spans="1:8" ht="12.75">
      <c r="A8" s="80" t="s">
        <v>125</v>
      </c>
      <c r="B8" s="81" t="str">
        <f>'Stavební rozpočet'!J8</f>
        <v>Ing. Radek Fokt</v>
      </c>
      <c r="C8" s="73"/>
      <c r="D8" s="82" t="s">
        <v>108</v>
      </c>
      <c r="E8" s="81" t="str">
        <f>'Stavební rozpočet'!G8</f>
        <v>11.02.2018</v>
      </c>
      <c r="F8" s="73"/>
      <c r="G8" s="79"/>
      <c r="H8" s="30"/>
    </row>
    <row r="9" spans="1:8" ht="12.75">
      <c r="A9" s="83"/>
      <c r="B9" s="84"/>
      <c r="C9" s="84"/>
      <c r="D9" s="84"/>
      <c r="E9" s="84"/>
      <c r="F9" s="84"/>
      <c r="G9" s="85"/>
      <c r="H9" s="30"/>
    </row>
    <row r="10" spans="1:8" ht="12.75">
      <c r="A10" s="37" t="s">
        <v>34</v>
      </c>
      <c r="B10" s="39" t="s">
        <v>35</v>
      </c>
      <c r="C10" s="40" t="s">
        <v>155</v>
      </c>
      <c r="D10" s="41" t="s">
        <v>156</v>
      </c>
      <c r="E10" s="41" t="s">
        <v>157</v>
      </c>
      <c r="F10" s="41" t="s">
        <v>158</v>
      </c>
      <c r="G10" s="43" t="s">
        <v>159</v>
      </c>
      <c r="H10" s="31"/>
    </row>
    <row r="11" spans="1:9" ht="12.75">
      <c r="A11" s="38"/>
      <c r="B11" s="38" t="s">
        <v>36</v>
      </c>
      <c r="C11" s="38" t="s">
        <v>72</v>
      </c>
      <c r="D11" s="44">
        <f>'Stavební rozpočet'!H12</f>
        <v>0</v>
      </c>
      <c r="E11" s="44">
        <f>'Stavební rozpočet'!I12</f>
        <v>0</v>
      </c>
      <c r="F11" s="44">
        <f aca="true" t="shared" si="0" ref="F11:F16">D11+E11</f>
        <v>0</v>
      </c>
      <c r="G11" s="44">
        <f>'Stavební rozpočet'!L12</f>
        <v>0.08972000000000001</v>
      </c>
      <c r="H11" s="32" t="s">
        <v>160</v>
      </c>
      <c r="I11" s="32">
        <f aca="true" t="shared" si="1" ref="I11:I16">IF(H11="F",0,F11)</f>
        <v>0</v>
      </c>
    </row>
    <row r="12" spans="1:9" ht="12.75">
      <c r="A12" s="15"/>
      <c r="B12" s="15" t="s">
        <v>44</v>
      </c>
      <c r="C12" s="15" t="s">
        <v>80</v>
      </c>
      <c r="D12" s="32">
        <f>'Stavební rozpočet'!H20</f>
        <v>0</v>
      </c>
      <c r="E12" s="32">
        <f>'Stavební rozpočet'!I20</f>
        <v>0</v>
      </c>
      <c r="F12" s="32">
        <f t="shared" si="0"/>
        <v>0</v>
      </c>
      <c r="G12" s="32">
        <f>'Stavební rozpočet'!L20</f>
        <v>0.00118</v>
      </c>
      <c r="H12" s="32" t="s">
        <v>160</v>
      </c>
      <c r="I12" s="32">
        <f t="shared" si="1"/>
        <v>0</v>
      </c>
    </row>
    <row r="13" spans="1:9" ht="12.75">
      <c r="A13" s="15"/>
      <c r="B13" s="15" t="s">
        <v>50</v>
      </c>
      <c r="C13" s="15" t="s">
        <v>87</v>
      </c>
      <c r="D13" s="32">
        <f>'Stavební rozpočet'!H27</f>
        <v>0</v>
      </c>
      <c r="E13" s="32">
        <f>'Stavební rozpočet'!I27</f>
        <v>0</v>
      </c>
      <c r="F13" s="32">
        <f t="shared" si="0"/>
        <v>0</v>
      </c>
      <c r="G13" s="32">
        <f>'Stavební rozpočet'!L27</f>
        <v>0.229624</v>
      </c>
      <c r="H13" s="32" t="s">
        <v>160</v>
      </c>
      <c r="I13" s="32">
        <f t="shared" si="1"/>
        <v>0</v>
      </c>
    </row>
    <row r="14" spans="1:9" ht="12.75">
      <c r="A14" s="15"/>
      <c r="B14" s="15" t="s">
        <v>59</v>
      </c>
      <c r="C14" s="15" t="s">
        <v>96</v>
      </c>
      <c r="D14" s="32">
        <f>'Stavební rozpočet'!H37</f>
        <v>0</v>
      </c>
      <c r="E14" s="32">
        <f>'Stavební rozpočet'!I37</f>
        <v>0</v>
      </c>
      <c r="F14" s="32">
        <f t="shared" si="0"/>
        <v>0</v>
      </c>
      <c r="G14" s="32">
        <f>'Stavební rozpočet'!L37</f>
        <v>0.0008399999999999999</v>
      </c>
      <c r="H14" s="32" t="s">
        <v>160</v>
      </c>
      <c r="I14" s="32">
        <f t="shared" si="1"/>
        <v>0</v>
      </c>
    </row>
    <row r="15" spans="1:9" ht="12.75">
      <c r="A15" s="15"/>
      <c r="B15" s="15" t="s">
        <v>61</v>
      </c>
      <c r="C15" s="15" t="s">
        <v>98</v>
      </c>
      <c r="D15" s="32">
        <f>'Stavební rozpočet'!H39</f>
        <v>0</v>
      </c>
      <c r="E15" s="32">
        <f>'Stavební rozpočet'!I39</f>
        <v>0</v>
      </c>
      <c r="F15" s="32">
        <f t="shared" si="0"/>
        <v>0</v>
      </c>
      <c r="G15" s="32">
        <f>'Stavební rozpočet'!L39</f>
        <v>0</v>
      </c>
      <c r="H15" s="32" t="s">
        <v>160</v>
      </c>
      <c r="I15" s="32">
        <f t="shared" si="1"/>
        <v>0</v>
      </c>
    </row>
    <row r="16" spans="1:9" ht="12.75">
      <c r="A16" s="15"/>
      <c r="B16" s="15" t="s">
        <v>63</v>
      </c>
      <c r="C16" s="15" t="s">
        <v>101</v>
      </c>
      <c r="D16" s="32">
        <f>'Stavební rozpočet'!H42</f>
        <v>0</v>
      </c>
      <c r="E16" s="32">
        <f>'Stavební rozpočet'!I42</f>
        <v>0</v>
      </c>
      <c r="F16" s="32">
        <f t="shared" si="0"/>
        <v>0</v>
      </c>
      <c r="G16" s="32">
        <f>'Stavební rozpočet'!L42</f>
        <v>0</v>
      </c>
      <c r="H16" s="32" t="s">
        <v>160</v>
      </c>
      <c r="I16" s="32">
        <f t="shared" si="1"/>
        <v>0</v>
      </c>
    </row>
    <row r="18" spans="5:6" ht="12.75">
      <c r="E18" s="42" t="s">
        <v>121</v>
      </c>
      <c r="F18" s="45">
        <f>SUM(I11:I16)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5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ht="12.75">
      <c r="A2" s="70" t="s">
        <v>1</v>
      </c>
      <c r="B2" s="71"/>
      <c r="C2" s="71"/>
      <c r="D2" s="74" t="s">
        <v>67</v>
      </c>
      <c r="E2" s="76" t="s">
        <v>105</v>
      </c>
      <c r="F2" s="71"/>
      <c r="G2" s="76" t="s">
        <v>6</v>
      </c>
      <c r="H2" s="71"/>
      <c r="I2" s="77" t="s">
        <v>122</v>
      </c>
      <c r="J2" s="77" t="s">
        <v>127</v>
      </c>
      <c r="K2" s="71"/>
      <c r="L2" s="71"/>
      <c r="M2" s="78"/>
      <c r="N2" s="30"/>
    </row>
    <row r="3" spans="1:14" ht="12.75">
      <c r="A3" s="72"/>
      <c r="B3" s="73"/>
      <c r="C3" s="73"/>
      <c r="D3" s="75"/>
      <c r="E3" s="73"/>
      <c r="F3" s="73"/>
      <c r="G3" s="73"/>
      <c r="H3" s="73"/>
      <c r="I3" s="73"/>
      <c r="J3" s="73"/>
      <c r="K3" s="73"/>
      <c r="L3" s="73"/>
      <c r="M3" s="79"/>
      <c r="N3" s="30"/>
    </row>
    <row r="4" spans="1:14" ht="12.75">
      <c r="A4" s="80" t="s">
        <v>2</v>
      </c>
      <c r="B4" s="73"/>
      <c r="C4" s="73"/>
      <c r="D4" s="81" t="s">
        <v>68</v>
      </c>
      <c r="E4" s="82" t="s">
        <v>106</v>
      </c>
      <c r="F4" s="73"/>
      <c r="G4" s="82" t="s">
        <v>6</v>
      </c>
      <c r="H4" s="73"/>
      <c r="I4" s="81" t="s">
        <v>123</v>
      </c>
      <c r="J4" s="81" t="s">
        <v>128</v>
      </c>
      <c r="K4" s="73"/>
      <c r="L4" s="73"/>
      <c r="M4" s="79"/>
      <c r="N4" s="30"/>
    </row>
    <row r="5" spans="1:14" ht="12.7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9"/>
      <c r="N5" s="30"/>
    </row>
    <row r="6" spans="1:14" ht="12.75">
      <c r="A6" s="80" t="s">
        <v>3</v>
      </c>
      <c r="B6" s="73"/>
      <c r="C6" s="73"/>
      <c r="D6" s="81" t="s">
        <v>69</v>
      </c>
      <c r="E6" s="82" t="s">
        <v>107</v>
      </c>
      <c r="F6" s="73"/>
      <c r="G6" s="82" t="s">
        <v>6</v>
      </c>
      <c r="H6" s="73"/>
      <c r="I6" s="81" t="s">
        <v>124</v>
      </c>
      <c r="J6" s="81" t="s">
        <v>6</v>
      </c>
      <c r="K6" s="73"/>
      <c r="L6" s="73"/>
      <c r="M6" s="79"/>
      <c r="N6" s="30"/>
    </row>
    <row r="7" spans="1:14" ht="12.7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9"/>
      <c r="N7" s="30"/>
    </row>
    <row r="8" spans="1:14" ht="12.75">
      <c r="A8" s="80" t="s">
        <v>4</v>
      </c>
      <c r="B8" s="73"/>
      <c r="C8" s="73"/>
      <c r="D8" s="81" t="s">
        <v>6</v>
      </c>
      <c r="E8" s="82" t="s">
        <v>108</v>
      </c>
      <c r="F8" s="73"/>
      <c r="G8" s="82" t="s">
        <v>116</v>
      </c>
      <c r="H8" s="73"/>
      <c r="I8" s="81" t="s">
        <v>125</v>
      </c>
      <c r="J8" s="81" t="s">
        <v>128</v>
      </c>
      <c r="K8" s="73"/>
      <c r="L8" s="73"/>
      <c r="M8" s="79"/>
      <c r="N8" s="30"/>
    </row>
    <row r="9" spans="1:14" ht="12.75">
      <c r="A9" s="8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30"/>
    </row>
    <row r="10" spans="1:14" ht="12.75">
      <c r="A10" s="1" t="s">
        <v>5</v>
      </c>
      <c r="B10" s="9" t="s">
        <v>34</v>
      </c>
      <c r="C10" s="9" t="s">
        <v>35</v>
      </c>
      <c r="D10" s="9" t="s">
        <v>70</v>
      </c>
      <c r="E10" s="9" t="s">
        <v>109</v>
      </c>
      <c r="F10" s="16" t="s">
        <v>115</v>
      </c>
      <c r="G10" s="19" t="s">
        <v>117</v>
      </c>
      <c r="H10" s="86" t="s">
        <v>119</v>
      </c>
      <c r="I10" s="87"/>
      <c r="J10" s="88"/>
      <c r="K10" s="86" t="s">
        <v>130</v>
      </c>
      <c r="L10" s="88"/>
      <c r="M10" s="26" t="s">
        <v>131</v>
      </c>
      <c r="N10" s="31"/>
    </row>
    <row r="11" spans="1:24" ht="12.75">
      <c r="A11" s="2" t="s">
        <v>6</v>
      </c>
      <c r="B11" s="10" t="s">
        <v>6</v>
      </c>
      <c r="C11" s="10" t="s">
        <v>6</v>
      </c>
      <c r="D11" s="13" t="s">
        <v>71</v>
      </c>
      <c r="E11" s="10" t="s">
        <v>6</v>
      </c>
      <c r="F11" s="10" t="s">
        <v>6</v>
      </c>
      <c r="G11" s="20" t="s">
        <v>118</v>
      </c>
      <c r="H11" s="21" t="s">
        <v>120</v>
      </c>
      <c r="I11" s="22" t="s">
        <v>126</v>
      </c>
      <c r="J11" s="23" t="s">
        <v>129</v>
      </c>
      <c r="K11" s="21" t="s">
        <v>117</v>
      </c>
      <c r="L11" s="23" t="s">
        <v>129</v>
      </c>
      <c r="M11" s="27" t="s">
        <v>132</v>
      </c>
      <c r="N11" s="31"/>
      <c r="P11" s="25" t="s">
        <v>135</v>
      </c>
      <c r="Q11" s="25" t="s">
        <v>136</v>
      </c>
      <c r="R11" s="25" t="s">
        <v>137</v>
      </c>
      <c r="S11" s="25" t="s">
        <v>138</v>
      </c>
      <c r="T11" s="25" t="s">
        <v>139</v>
      </c>
      <c r="U11" s="25" t="s">
        <v>140</v>
      </c>
      <c r="V11" s="25" t="s">
        <v>141</v>
      </c>
      <c r="W11" s="25" t="s">
        <v>142</v>
      </c>
      <c r="X11" s="25" t="s">
        <v>143</v>
      </c>
    </row>
    <row r="12" spans="1:37" ht="12.75">
      <c r="A12" s="3"/>
      <c r="B12" s="11"/>
      <c r="C12" s="11" t="s">
        <v>36</v>
      </c>
      <c r="D12" s="11" t="s">
        <v>72</v>
      </c>
      <c r="E12" s="3" t="s">
        <v>6</v>
      </c>
      <c r="F12" s="3" t="s">
        <v>6</v>
      </c>
      <c r="G12" s="3" t="s">
        <v>6</v>
      </c>
      <c r="H12" s="34">
        <f>SUM(H13:H19)</f>
        <v>0</v>
      </c>
      <c r="I12" s="34">
        <f>SUM(I13:I19)</f>
        <v>0</v>
      </c>
      <c r="J12" s="34">
        <f>H12+I12</f>
        <v>0</v>
      </c>
      <c r="K12" s="24"/>
      <c r="L12" s="34">
        <f>SUM(L13:L19)</f>
        <v>0.08972000000000001</v>
      </c>
      <c r="M12" s="24"/>
      <c r="Y12" s="25"/>
      <c r="AI12" s="35">
        <f>SUM(Z13:Z19)</f>
        <v>0</v>
      </c>
      <c r="AJ12" s="35">
        <f>SUM(AA13:AA19)</f>
        <v>0</v>
      </c>
      <c r="AK12" s="35">
        <f>SUM(AB13:AB19)</f>
        <v>0</v>
      </c>
    </row>
    <row r="13" spans="1:48" ht="12.75">
      <c r="A13" s="4" t="s">
        <v>7</v>
      </c>
      <c r="B13" s="4"/>
      <c r="C13" s="4" t="s">
        <v>37</v>
      </c>
      <c r="D13" s="4" t="s">
        <v>73</v>
      </c>
      <c r="E13" s="4" t="s">
        <v>110</v>
      </c>
      <c r="F13" s="17">
        <v>7</v>
      </c>
      <c r="G13" s="17">
        <v>0</v>
      </c>
      <c r="H13" s="17">
        <f aca="true" t="shared" si="0" ref="H13:H19">F13*AE13</f>
        <v>0</v>
      </c>
      <c r="I13" s="17">
        <f aca="true" t="shared" si="1" ref="I13:I19">J13-H13</f>
        <v>0</v>
      </c>
      <c r="J13" s="17">
        <f aca="true" t="shared" si="2" ref="J13:J19">F13*G13</f>
        <v>0</v>
      </c>
      <c r="K13" s="17">
        <v>0.00102</v>
      </c>
      <c r="L13" s="17">
        <f aca="true" t="shared" si="3" ref="L13:L19">F13*K13</f>
        <v>0.0071400000000000005</v>
      </c>
      <c r="M13" s="28" t="s">
        <v>133</v>
      </c>
      <c r="P13" s="32">
        <f aca="true" t="shared" si="4" ref="P13:P19">IF(AG13="5",J13,0)</f>
        <v>0</v>
      </c>
      <c r="R13" s="32">
        <f aca="true" t="shared" si="5" ref="R13:R19">IF(AG13="1",H13,0)</f>
        <v>0</v>
      </c>
      <c r="S13" s="32">
        <f aca="true" t="shared" si="6" ref="S13:S19">IF(AG13="1",I13,0)</f>
        <v>0</v>
      </c>
      <c r="T13" s="32">
        <f aca="true" t="shared" si="7" ref="T13:T19">IF(AG13="7",H13,0)</f>
        <v>0</v>
      </c>
      <c r="U13" s="32">
        <f aca="true" t="shared" si="8" ref="U13:U19">IF(AG13="7",I13,0)</f>
        <v>0</v>
      </c>
      <c r="V13" s="32">
        <f aca="true" t="shared" si="9" ref="V13:V19">IF(AG13="2",H13,0)</f>
        <v>0</v>
      </c>
      <c r="W13" s="32">
        <f aca="true" t="shared" si="10" ref="W13:W19">IF(AG13="2",I13,0)</f>
        <v>0</v>
      </c>
      <c r="X13" s="32">
        <f aca="true" t="shared" si="11" ref="X13:X19">IF(AG13="0",J13,0)</f>
        <v>0</v>
      </c>
      <c r="Y13" s="25"/>
      <c r="Z13" s="17">
        <f aca="true" t="shared" si="12" ref="Z13:Z19">IF(AD13=0,J13,0)</f>
        <v>0</v>
      </c>
      <c r="AA13" s="17">
        <f aca="true" t="shared" si="13" ref="AA13:AA19">IF(AD13=15,J13,0)</f>
        <v>0</v>
      </c>
      <c r="AB13" s="17">
        <f aca="true" t="shared" si="14" ref="AB13:AB19">IF(AD13=21,J13,0)</f>
        <v>0</v>
      </c>
      <c r="AD13" s="32">
        <v>21</v>
      </c>
      <c r="AE13" s="32">
        <f>G13*0.142272727272727</f>
        <v>0</v>
      </c>
      <c r="AF13" s="32">
        <f>G13*(1-0.142272727272727)</f>
        <v>0</v>
      </c>
      <c r="AG13" s="28" t="s">
        <v>13</v>
      </c>
      <c r="AM13" s="32">
        <f aca="true" t="shared" si="15" ref="AM13:AM19">F13*AE13</f>
        <v>0</v>
      </c>
      <c r="AN13" s="32">
        <f aca="true" t="shared" si="16" ref="AN13:AN19">F13*AF13</f>
        <v>0</v>
      </c>
      <c r="AO13" s="33" t="s">
        <v>144</v>
      </c>
      <c r="AP13" s="33" t="s">
        <v>150</v>
      </c>
      <c r="AQ13" s="25" t="s">
        <v>153</v>
      </c>
      <c r="AS13" s="32">
        <f aca="true" t="shared" si="17" ref="AS13:AS19">AM13+AN13</f>
        <v>0</v>
      </c>
      <c r="AT13" s="32">
        <f aca="true" t="shared" si="18" ref="AT13:AT19">G13/(100-AU13)*100</f>
        <v>0</v>
      </c>
      <c r="AU13" s="32">
        <v>0</v>
      </c>
      <c r="AV13" s="32">
        <f aca="true" t="shared" si="19" ref="AV13:AV19">L13</f>
        <v>0.0071400000000000005</v>
      </c>
    </row>
    <row r="14" spans="1:48" ht="12.75">
      <c r="A14" s="4" t="s">
        <v>8</v>
      </c>
      <c r="B14" s="4"/>
      <c r="C14" s="4" t="s">
        <v>38</v>
      </c>
      <c r="D14" s="4" t="s">
        <v>74</v>
      </c>
      <c r="E14" s="4" t="s">
        <v>111</v>
      </c>
      <c r="F14" s="17">
        <v>0.0071</v>
      </c>
      <c r="G14" s="17">
        <v>0</v>
      </c>
      <c r="H14" s="17">
        <f t="shared" si="0"/>
        <v>0</v>
      </c>
      <c r="I14" s="17">
        <f t="shared" si="1"/>
        <v>0</v>
      </c>
      <c r="J14" s="17">
        <f t="shared" si="2"/>
        <v>0</v>
      </c>
      <c r="K14" s="17">
        <v>0</v>
      </c>
      <c r="L14" s="17">
        <f t="shared" si="3"/>
        <v>0</v>
      </c>
      <c r="M14" s="28" t="s">
        <v>133</v>
      </c>
      <c r="P14" s="32">
        <f t="shared" si="4"/>
        <v>0</v>
      </c>
      <c r="R14" s="32">
        <f t="shared" si="5"/>
        <v>0</v>
      </c>
      <c r="S14" s="32">
        <f t="shared" si="6"/>
        <v>0</v>
      </c>
      <c r="T14" s="32">
        <f t="shared" si="7"/>
        <v>0</v>
      </c>
      <c r="U14" s="32">
        <f t="shared" si="8"/>
        <v>0</v>
      </c>
      <c r="V14" s="32">
        <f t="shared" si="9"/>
        <v>0</v>
      </c>
      <c r="W14" s="32">
        <f t="shared" si="10"/>
        <v>0</v>
      </c>
      <c r="X14" s="32">
        <f t="shared" si="11"/>
        <v>0</v>
      </c>
      <c r="Y14" s="25"/>
      <c r="Z14" s="17">
        <f t="shared" si="12"/>
        <v>0</v>
      </c>
      <c r="AA14" s="17">
        <f t="shared" si="13"/>
        <v>0</v>
      </c>
      <c r="AB14" s="17">
        <f t="shared" si="14"/>
        <v>0</v>
      </c>
      <c r="AD14" s="32">
        <v>21</v>
      </c>
      <c r="AE14" s="32">
        <f>G14*0</f>
        <v>0</v>
      </c>
      <c r="AF14" s="32">
        <f>G14*(1-0)</f>
        <v>0</v>
      </c>
      <c r="AG14" s="28" t="s">
        <v>13</v>
      </c>
      <c r="AM14" s="32">
        <f t="shared" si="15"/>
        <v>0</v>
      </c>
      <c r="AN14" s="32">
        <f t="shared" si="16"/>
        <v>0</v>
      </c>
      <c r="AO14" s="33" t="s">
        <v>144</v>
      </c>
      <c r="AP14" s="33" t="s">
        <v>150</v>
      </c>
      <c r="AQ14" s="25" t="s">
        <v>153</v>
      </c>
      <c r="AS14" s="32">
        <f t="shared" si="17"/>
        <v>0</v>
      </c>
      <c r="AT14" s="32">
        <f t="shared" si="18"/>
        <v>0</v>
      </c>
      <c r="AU14" s="32">
        <v>0</v>
      </c>
      <c r="AV14" s="32">
        <f t="shared" si="19"/>
        <v>0</v>
      </c>
    </row>
    <row r="15" spans="1:48" ht="12.75">
      <c r="A15" s="4" t="s">
        <v>9</v>
      </c>
      <c r="B15" s="4"/>
      <c r="C15" s="4" t="s">
        <v>39</v>
      </c>
      <c r="D15" s="4" t="s">
        <v>75</v>
      </c>
      <c r="E15" s="4" t="s">
        <v>110</v>
      </c>
      <c r="F15" s="17">
        <v>8</v>
      </c>
      <c r="G15" s="17">
        <v>0</v>
      </c>
      <c r="H15" s="17">
        <f t="shared" si="0"/>
        <v>0</v>
      </c>
      <c r="I15" s="17">
        <f t="shared" si="1"/>
        <v>0</v>
      </c>
      <c r="J15" s="17">
        <f t="shared" si="2"/>
        <v>0</v>
      </c>
      <c r="K15" s="17">
        <v>0.00657</v>
      </c>
      <c r="L15" s="17">
        <f t="shared" si="3"/>
        <v>0.05256</v>
      </c>
      <c r="M15" s="28" t="s">
        <v>133</v>
      </c>
      <c r="P15" s="32">
        <f t="shared" si="4"/>
        <v>0</v>
      </c>
      <c r="R15" s="32">
        <f t="shared" si="5"/>
        <v>0</v>
      </c>
      <c r="S15" s="32">
        <f t="shared" si="6"/>
        <v>0</v>
      </c>
      <c r="T15" s="32">
        <f t="shared" si="7"/>
        <v>0</v>
      </c>
      <c r="U15" s="32">
        <f t="shared" si="8"/>
        <v>0</v>
      </c>
      <c r="V15" s="32">
        <f t="shared" si="9"/>
        <v>0</v>
      </c>
      <c r="W15" s="32">
        <f t="shared" si="10"/>
        <v>0</v>
      </c>
      <c r="X15" s="32">
        <f t="shared" si="11"/>
        <v>0</v>
      </c>
      <c r="Y15" s="25"/>
      <c r="Z15" s="17">
        <f t="shared" si="12"/>
        <v>0</v>
      </c>
      <c r="AA15" s="17">
        <f t="shared" si="13"/>
        <v>0</v>
      </c>
      <c r="AB15" s="17">
        <f t="shared" si="14"/>
        <v>0</v>
      </c>
      <c r="AD15" s="32">
        <v>21</v>
      </c>
      <c r="AE15" s="32">
        <f>G15*0.468775137111517</f>
        <v>0</v>
      </c>
      <c r="AF15" s="32">
        <f>G15*(1-0.468775137111517)</f>
        <v>0</v>
      </c>
      <c r="AG15" s="28" t="s">
        <v>13</v>
      </c>
      <c r="AM15" s="32">
        <f t="shared" si="15"/>
        <v>0</v>
      </c>
      <c r="AN15" s="32">
        <f t="shared" si="16"/>
        <v>0</v>
      </c>
      <c r="AO15" s="33" t="s">
        <v>144</v>
      </c>
      <c r="AP15" s="33" t="s">
        <v>150</v>
      </c>
      <c r="AQ15" s="25" t="s">
        <v>153</v>
      </c>
      <c r="AS15" s="32">
        <f t="shared" si="17"/>
        <v>0</v>
      </c>
      <c r="AT15" s="32">
        <f t="shared" si="18"/>
        <v>0</v>
      </c>
      <c r="AU15" s="32">
        <v>0</v>
      </c>
      <c r="AV15" s="32">
        <f t="shared" si="19"/>
        <v>0.05256</v>
      </c>
    </row>
    <row r="16" spans="1:48" ht="12.75">
      <c r="A16" s="4" t="s">
        <v>10</v>
      </c>
      <c r="B16" s="4"/>
      <c r="C16" s="4" t="s">
        <v>40</v>
      </c>
      <c r="D16" s="4" t="s">
        <v>76</v>
      </c>
      <c r="E16" s="4" t="s">
        <v>110</v>
      </c>
      <c r="F16" s="17">
        <v>4</v>
      </c>
      <c r="G16" s="17">
        <v>0</v>
      </c>
      <c r="H16" s="17">
        <f t="shared" si="0"/>
        <v>0</v>
      </c>
      <c r="I16" s="17">
        <f t="shared" si="1"/>
        <v>0</v>
      </c>
      <c r="J16" s="17">
        <f t="shared" si="2"/>
        <v>0</v>
      </c>
      <c r="K16" s="17">
        <v>0.00688</v>
      </c>
      <c r="L16" s="17">
        <f t="shared" si="3"/>
        <v>0.02752</v>
      </c>
      <c r="M16" s="28" t="s">
        <v>133</v>
      </c>
      <c r="P16" s="32">
        <f t="shared" si="4"/>
        <v>0</v>
      </c>
      <c r="R16" s="32">
        <f t="shared" si="5"/>
        <v>0</v>
      </c>
      <c r="S16" s="32">
        <f t="shared" si="6"/>
        <v>0</v>
      </c>
      <c r="T16" s="32">
        <f t="shared" si="7"/>
        <v>0</v>
      </c>
      <c r="U16" s="32">
        <f t="shared" si="8"/>
        <v>0</v>
      </c>
      <c r="V16" s="32">
        <f t="shared" si="9"/>
        <v>0</v>
      </c>
      <c r="W16" s="32">
        <f t="shared" si="10"/>
        <v>0</v>
      </c>
      <c r="X16" s="32">
        <f t="shared" si="11"/>
        <v>0</v>
      </c>
      <c r="Y16" s="25"/>
      <c r="Z16" s="17">
        <f t="shared" si="12"/>
        <v>0</v>
      </c>
      <c r="AA16" s="17">
        <f t="shared" si="13"/>
        <v>0</v>
      </c>
      <c r="AB16" s="17">
        <f t="shared" si="14"/>
        <v>0</v>
      </c>
      <c r="AD16" s="32">
        <v>21</v>
      </c>
      <c r="AE16" s="32">
        <f>G16*0.412038095238095</f>
        <v>0</v>
      </c>
      <c r="AF16" s="32">
        <f>G16*(1-0.412038095238095)</f>
        <v>0</v>
      </c>
      <c r="AG16" s="28" t="s">
        <v>13</v>
      </c>
      <c r="AM16" s="32">
        <f t="shared" si="15"/>
        <v>0</v>
      </c>
      <c r="AN16" s="32">
        <f t="shared" si="16"/>
        <v>0</v>
      </c>
      <c r="AO16" s="33" t="s">
        <v>144</v>
      </c>
      <c r="AP16" s="33" t="s">
        <v>150</v>
      </c>
      <c r="AQ16" s="25" t="s">
        <v>153</v>
      </c>
      <c r="AS16" s="32">
        <f t="shared" si="17"/>
        <v>0</v>
      </c>
      <c r="AT16" s="32">
        <f t="shared" si="18"/>
        <v>0</v>
      </c>
      <c r="AU16" s="32">
        <v>0</v>
      </c>
      <c r="AV16" s="32">
        <f t="shared" si="19"/>
        <v>0.02752</v>
      </c>
    </row>
    <row r="17" spans="1:48" ht="12.75">
      <c r="A17" s="4" t="s">
        <v>11</v>
      </c>
      <c r="B17" s="4"/>
      <c r="C17" s="4" t="s">
        <v>41</v>
      </c>
      <c r="D17" s="4" t="s">
        <v>77</v>
      </c>
      <c r="E17" s="4" t="s">
        <v>110</v>
      </c>
      <c r="F17" s="17">
        <v>12</v>
      </c>
      <c r="G17" s="17">
        <v>0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7">
        <v>0</v>
      </c>
      <c r="L17" s="17">
        <f t="shared" si="3"/>
        <v>0</v>
      </c>
      <c r="M17" s="28" t="s">
        <v>133</v>
      </c>
      <c r="P17" s="32">
        <f t="shared" si="4"/>
        <v>0</v>
      </c>
      <c r="R17" s="32">
        <f t="shared" si="5"/>
        <v>0</v>
      </c>
      <c r="S17" s="32">
        <f t="shared" si="6"/>
        <v>0</v>
      </c>
      <c r="T17" s="32">
        <f t="shared" si="7"/>
        <v>0</v>
      </c>
      <c r="U17" s="32">
        <f t="shared" si="8"/>
        <v>0</v>
      </c>
      <c r="V17" s="32">
        <f t="shared" si="9"/>
        <v>0</v>
      </c>
      <c r="W17" s="32">
        <f t="shared" si="10"/>
        <v>0</v>
      </c>
      <c r="X17" s="32">
        <f t="shared" si="11"/>
        <v>0</v>
      </c>
      <c r="Y17" s="25"/>
      <c r="Z17" s="17">
        <f t="shared" si="12"/>
        <v>0</v>
      </c>
      <c r="AA17" s="17">
        <f t="shared" si="13"/>
        <v>0</v>
      </c>
      <c r="AB17" s="17">
        <f t="shared" si="14"/>
        <v>0</v>
      </c>
      <c r="AD17" s="32">
        <v>21</v>
      </c>
      <c r="AE17" s="32">
        <f>G17*0.0236842105263158</f>
        <v>0</v>
      </c>
      <c r="AF17" s="32">
        <f>G17*(1-0.0236842105263158)</f>
        <v>0</v>
      </c>
      <c r="AG17" s="28" t="s">
        <v>13</v>
      </c>
      <c r="AM17" s="32">
        <f t="shared" si="15"/>
        <v>0</v>
      </c>
      <c r="AN17" s="32">
        <f t="shared" si="16"/>
        <v>0</v>
      </c>
      <c r="AO17" s="33" t="s">
        <v>144</v>
      </c>
      <c r="AP17" s="33" t="s">
        <v>150</v>
      </c>
      <c r="AQ17" s="25" t="s">
        <v>153</v>
      </c>
      <c r="AS17" s="32">
        <f t="shared" si="17"/>
        <v>0</v>
      </c>
      <c r="AT17" s="32">
        <f t="shared" si="18"/>
        <v>0</v>
      </c>
      <c r="AU17" s="32">
        <v>0</v>
      </c>
      <c r="AV17" s="32">
        <f t="shared" si="19"/>
        <v>0</v>
      </c>
    </row>
    <row r="18" spans="1:48" ht="12.75">
      <c r="A18" s="4" t="s">
        <v>12</v>
      </c>
      <c r="B18" s="4"/>
      <c r="C18" s="4" t="s">
        <v>42</v>
      </c>
      <c r="D18" s="4" t="s">
        <v>78</v>
      </c>
      <c r="E18" s="4" t="s">
        <v>112</v>
      </c>
      <c r="F18" s="17">
        <v>2</v>
      </c>
      <c r="G18" s="17">
        <v>0</v>
      </c>
      <c r="H18" s="17">
        <f t="shared" si="0"/>
        <v>0</v>
      </c>
      <c r="I18" s="17">
        <f t="shared" si="1"/>
        <v>0</v>
      </c>
      <c r="J18" s="17">
        <f t="shared" si="2"/>
        <v>0</v>
      </c>
      <c r="K18" s="17">
        <v>0.00125</v>
      </c>
      <c r="L18" s="17">
        <f t="shared" si="3"/>
        <v>0.0025</v>
      </c>
      <c r="M18" s="28" t="s">
        <v>133</v>
      </c>
      <c r="P18" s="32">
        <f t="shared" si="4"/>
        <v>0</v>
      </c>
      <c r="R18" s="32">
        <f t="shared" si="5"/>
        <v>0</v>
      </c>
      <c r="S18" s="32">
        <f t="shared" si="6"/>
        <v>0</v>
      </c>
      <c r="T18" s="32">
        <f t="shared" si="7"/>
        <v>0</v>
      </c>
      <c r="U18" s="32">
        <f t="shared" si="8"/>
        <v>0</v>
      </c>
      <c r="V18" s="32">
        <f t="shared" si="9"/>
        <v>0</v>
      </c>
      <c r="W18" s="32">
        <f t="shared" si="10"/>
        <v>0</v>
      </c>
      <c r="X18" s="32">
        <f t="shared" si="11"/>
        <v>0</v>
      </c>
      <c r="Y18" s="25"/>
      <c r="Z18" s="17">
        <f t="shared" si="12"/>
        <v>0</v>
      </c>
      <c r="AA18" s="17">
        <f t="shared" si="13"/>
        <v>0</v>
      </c>
      <c r="AB18" s="17">
        <f t="shared" si="14"/>
        <v>0</v>
      </c>
      <c r="AD18" s="32">
        <v>21</v>
      </c>
      <c r="AE18" s="32">
        <f>G18*0.29728045325779</f>
        <v>0</v>
      </c>
      <c r="AF18" s="32">
        <f>G18*(1-0.29728045325779)</f>
        <v>0</v>
      </c>
      <c r="AG18" s="28" t="s">
        <v>13</v>
      </c>
      <c r="AM18" s="32">
        <f t="shared" si="15"/>
        <v>0</v>
      </c>
      <c r="AN18" s="32">
        <f t="shared" si="16"/>
        <v>0</v>
      </c>
      <c r="AO18" s="33" t="s">
        <v>144</v>
      </c>
      <c r="AP18" s="33" t="s">
        <v>150</v>
      </c>
      <c r="AQ18" s="25" t="s">
        <v>153</v>
      </c>
      <c r="AS18" s="32">
        <f t="shared" si="17"/>
        <v>0</v>
      </c>
      <c r="AT18" s="32">
        <f t="shared" si="18"/>
        <v>0</v>
      </c>
      <c r="AU18" s="32">
        <v>0</v>
      </c>
      <c r="AV18" s="32">
        <f t="shared" si="19"/>
        <v>0.0025</v>
      </c>
    </row>
    <row r="19" spans="1:48" ht="12.75">
      <c r="A19" s="4" t="s">
        <v>13</v>
      </c>
      <c r="B19" s="4"/>
      <c r="C19" s="4" t="s">
        <v>43</v>
      </c>
      <c r="D19" s="4" t="s">
        <v>79</v>
      </c>
      <c r="E19" s="4" t="s">
        <v>111</v>
      </c>
      <c r="F19" s="17">
        <v>0.08258</v>
      </c>
      <c r="G19" s="17">
        <v>0</v>
      </c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</v>
      </c>
      <c r="L19" s="17">
        <f t="shared" si="3"/>
        <v>0</v>
      </c>
      <c r="M19" s="28" t="s">
        <v>133</v>
      </c>
      <c r="P19" s="32">
        <f t="shared" si="4"/>
        <v>0</v>
      </c>
      <c r="R19" s="32">
        <f t="shared" si="5"/>
        <v>0</v>
      </c>
      <c r="S19" s="32">
        <f t="shared" si="6"/>
        <v>0</v>
      </c>
      <c r="T19" s="32">
        <f t="shared" si="7"/>
        <v>0</v>
      </c>
      <c r="U19" s="32">
        <f t="shared" si="8"/>
        <v>0</v>
      </c>
      <c r="V19" s="32">
        <f t="shared" si="9"/>
        <v>0</v>
      </c>
      <c r="W19" s="32">
        <f t="shared" si="10"/>
        <v>0</v>
      </c>
      <c r="X19" s="32">
        <f t="shared" si="11"/>
        <v>0</v>
      </c>
      <c r="Y19" s="25"/>
      <c r="Z19" s="17">
        <f t="shared" si="12"/>
        <v>0</v>
      </c>
      <c r="AA19" s="17">
        <f t="shared" si="13"/>
        <v>0</v>
      </c>
      <c r="AB19" s="17">
        <f t="shared" si="14"/>
        <v>0</v>
      </c>
      <c r="AD19" s="32">
        <v>21</v>
      </c>
      <c r="AE19" s="32">
        <f>G19*0</f>
        <v>0</v>
      </c>
      <c r="AF19" s="32">
        <f>G19*(1-0)</f>
        <v>0</v>
      </c>
      <c r="AG19" s="28" t="s">
        <v>11</v>
      </c>
      <c r="AM19" s="32">
        <f t="shared" si="15"/>
        <v>0</v>
      </c>
      <c r="AN19" s="32">
        <f t="shared" si="16"/>
        <v>0</v>
      </c>
      <c r="AO19" s="33" t="s">
        <v>144</v>
      </c>
      <c r="AP19" s="33" t="s">
        <v>150</v>
      </c>
      <c r="AQ19" s="25" t="s">
        <v>153</v>
      </c>
      <c r="AS19" s="32">
        <f t="shared" si="17"/>
        <v>0</v>
      </c>
      <c r="AT19" s="32">
        <f t="shared" si="18"/>
        <v>0</v>
      </c>
      <c r="AU19" s="32">
        <v>0</v>
      </c>
      <c r="AV19" s="32">
        <f t="shared" si="19"/>
        <v>0</v>
      </c>
    </row>
    <row r="20" spans="1:37" ht="12.75">
      <c r="A20" s="5"/>
      <c r="B20" s="12"/>
      <c r="C20" s="12" t="s">
        <v>44</v>
      </c>
      <c r="D20" s="12" t="s">
        <v>80</v>
      </c>
      <c r="E20" s="5" t="s">
        <v>6</v>
      </c>
      <c r="F20" s="5" t="s">
        <v>6</v>
      </c>
      <c r="G20" s="5" t="s">
        <v>6</v>
      </c>
      <c r="H20" s="35">
        <f>SUM(H21:H26)</f>
        <v>0</v>
      </c>
      <c r="I20" s="35">
        <f>SUM(I21:I26)</f>
        <v>0</v>
      </c>
      <c r="J20" s="35">
        <f>H20+I20</f>
        <v>0</v>
      </c>
      <c r="K20" s="25"/>
      <c r="L20" s="35">
        <f>SUM(L21:L26)</f>
        <v>0.00118</v>
      </c>
      <c r="M20" s="25"/>
      <c r="Y20" s="25"/>
      <c r="AI20" s="35">
        <f>SUM(Z21:Z26)</f>
        <v>0</v>
      </c>
      <c r="AJ20" s="35">
        <f>SUM(AA21:AA26)</f>
        <v>0</v>
      </c>
      <c r="AK20" s="35">
        <f>SUM(AB21:AB26)</f>
        <v>0</v>
      </c>
    </row>
    <row r="21" spans="1:48" ht="12.75">
      <c r="A21" s="4" t="s">
        <v>14</v>
      </c>
      <c r="B21" s="4"/>
      <c r="C21" s="4" t="s">
        <v>45</v>
      </c>
      <c r="D21" s="4" t="s">
        <v>81</v>
      </c>
      <c r="E21" s="4" t="s">
        <v>112</v>
      </c>
      <c r="F21" s="17">
        <v>2</v>
      </c>
      <c r="G21" s="17">
        <v>0</v>
      </c>
      <c r="H21" s="17">
        <f>F21*AE21</f>
        <v>0</v>
      </c>
      <c r="I21" s="17">
        <f>J21-H21</f>
        <v>0</v>
      </c>
      <c r="J21" s="17">
        <f>F21*G21</f>
        <v>0</v>
      </c>
      <c r="K21" s="17">
        <v>0</v>
      </c>
      <c r="L21" s="17">
        <f>F21*K21</f>
        <v>0</v>
      </c>
      <c r="M21" s="28" t="s">
        <v>133</v>
      </c>
      <c r="P21" s="32">
        <f>IF(AG21="5",J21,0)</f>
        <v>0</v>
      </c>
      <c r="R21" s="32">
        <f>IF(AG21="1",H21,0)</f>
        <v>0</v>
      </c>
      <c r="S21" s="32">
        <f>IF(AG21="1",I21,0)</f>
        <v>0</v>
      </c>
      <c r="T21" s="32">
        <f>IF(AG21="7",H21,0)</f>
        <v>0</v>
      </c>
      <c r="U21" s="32">
        <f>IF(AG21="7",I21,0)</f>
        <v>0</v>
      </c>
      <c r="V21" s="32">
        <f>IF(AG21="2",H21,0)</f>
        <v>0</v>
      </c>
      <c r="W21" s="32">
        <f>IF(AG21="2",I21,0)</f>
        <v>0</v>
      </c>
      <c r="X21" s="32">
        <f>IF(AG21="0",J21,0)</f>
        <v>0</v>
      </c>
      <c r="Y21" s="25"/>
      <c r="Z21" s="17">
        <f>IF(AD21=0,J21,0)</f>
        <v>0</v>
      </c>
      <c r="AA21" s="17">
        <f>IF(AD21=15,J21,0)</f>
        <v>0</v>
      </c>
      <c r="AB21" s="17">
        <f>IF(AD21=21,J21,0)</f>
        <v>0</v>
      </c>
      <c r="AD21" s="32">
        <v>21</v>
      </c>
      <c r="AE21" s="32">
        <f>G21*0.787672035139092</f>
        <v>0</v>
      </c>
      <c r="AF21" s="32">
        <f>G21*(1-0.787672035139092)</f>
        <v>0</v>
      </c>
      <c r="AG21" s="28" t="s">
        <v>13</v>
      </c>
      <c r="AM21" s="32">
        <f>F21*AE21</f>
        <v>0</v>
      </c>
      <c r="AN21" s="32">
        <f>F21*AF21</f>
        <v>0</v>
      </c>
      <c r="AO21" s="33" t="s">
        <v>145</v>
      </c>
      <c r="AP21" s="33" t="s">
        <v>150</v>
      </c>
      <c r="AQ21" s="25" t="s">
        <v>153</v>
      </c>
      <c r="AS21" s="32">
        <f>AM21+AN21</f>
        <v>0</v>
      </c>
      <c r="AT21" s="32">
        <f>G21/(100-AU21)*100</f>
        <v>0</v>
      </c>
      <c r="AU21" s="32">
        <v>0</v>
      </c>
      <c r="AV21" s="32">
        <f>L21</f>
        <v>0</v>
      </c>
    </row>
    <row r="22" ht="12.75">
      <c r="D22" s="14" t="s">
        <v>82</v>
      </c>
    </row>
    <row r="23" spans="1:48" ht="12.75">
      <c r="A23" s="4" t="s">
        <v>15</v>
      </c>
      <c r="B23" s="4"/>
      <c r="C23" s="4" t="s">
        <v>46</v>
      </c>
      <c r="D23" s="4" t="s">
        <v>83</v>
      </c>
      <c r="E23" s="4" t="s">
        <v>112</v>
      </c>
      <c r="F23" s="17">
        <v>2</v>
      </c>
      <c r="G23" s="17">
        <v>0</v>
      </c>
      <c r="H23" s="17">
        <f>F23*AE23</f>
        <v>0</v>
      </c>
      <c r="I23" s="17">
        <f>J23-H23</f>
        <v>0</v>
      </c>
      <c r="J23" s="17">
        <f>F23*G23</f>
        <v>0</v>
      </c>
      <c r="K23" s="17">
        <v>0</v>
      </c>
      <c r="L23" s="17">
        <f>F23*K23</f>
        <v>0</v>
      </c>
      <c r="M23" s="28" t="s">
        <v>133</v>
      </c>
      <c r="P23" s="32">
        <f>IF(AG23="5",J23,0)</f>
        <v>0</v>
      </c>
      <c r="R23" s="32">
        <f>IF(AG23="1",H23,0)</f>
        <v>0</v>
      </c>
      <c r="S23" s="32">
        <f>IF(AG23="1",I23,0)</f>
        <v>0</v>
      </c>
      <c r="T23" s="32">
        <f>IF(AG23="7",H23,0)</f>
        <v>0</v>
      </c>
      <c r="U23" s="32">
        <f>IF(AG23="7",I23,0)</f>
        <v>0</v>
      </c>
      <c r="V23" s="32">
        <f>IF(AG23="2",H23,0)</f>
        <v>0</v>
      </c>
      <c r="W23" s="32">
        <f>IF(AG23="2",I23,0)</f>
        <v>0</v>
      </c>
      <c r="X23" s="32">
        <f>IF(AG23="0",J23,0)</f>
        <v>0</v>
      </c>
      <c r="Y23" s="25"/>
      <c r="Z23" s="17">
        <f>IF(AD23=0,J23,0)</f>
        <v>0</v>
      </c>
      <c r="AA23" s="17">
        <f>IF(AD23=15,J23,0)</f>
        <v>0</v>
      </c>
      <c r="AB23" s="17">
        <f>IF(AD23=21,J23,0)</f>
        <v>0</v>
      </c>
      <c r="AD23" s="32">
        <v>21</v>
      </c>
      <c r="AE23" s="32">
        <f>G23*0.825752525511512</f>
        <v>0</v>
      </c>
      <c r="AF23" s="32">
        <f>G23*(1-0.825752525511512)</f>
        <v>0</v>
      </c>
      <c r="AG23" s="28" t="s">
        <v>13</v>
      </c>
      <c r="AM23" s="32">
        <f>F23*AE23</f>
        <v>0</v>
      </c>
      <c r="AN23" s="32">
        <f>F23*AF23</f>
        <v>0</v>
      </c>
      <c r="AO23" s="33" t="s">
        <v>145</v>
      </c>
      <c r="AP23" s="33" t="s">
        <v>150</v>
      </c>
      <c r="AQ23" s="25" t="s">
        <v>153</v>
      </c>
      <c r="AS23" s="32">
        <f>AM23+AN23</f>
        <v>0</v>
      </c>
      <c r="AT23" s="32">
        <f>G23/(100-AU23)*100</f>
        <v>0</v>
      </c>
      <c r="AU23" s="32">
        <v>0</v>
      </c>
      <c r="AV23" s="32">
        <f>L23</f>
        <v>0</v>
      </c>
    </row>
    <row r="24" spans="1:48" ht="12.75">
      <c r="A24" s="4" t="s">
        <v>16</v>
      </c>
      <c r="B24" s="4"/>
      <c r="C24" s="4" t="s">
        <v>47</v>
      </c>
      <c r="D24" s="4" t="s">
        <v>84</v>
      </c>
      <c r="E24" s="4" t="s">
        <v>112</v>
      </c>
      <c r="F24" s="17">
        <v>2</v>
      </c>
      <c r="G24" s="17">
        <v>0</v>
      </c>
      <c r="H24" s="17">
        <f>F24*AE24</f>
        <v>0</v>
      </c>
      <c r="I24" s="17">
        <f>J24-H24</f>
        <v>0</v>
      </c>
      <c r="J24" s="17">
        <f>F24*G24</f>
        <v>0</v>
      </c>
      <c r="K24" s="17">
        <v>0.00051</v>
      </c>
      <c r="L24" s="17">
        <f>F24*K24</f>
        <v>0.00102</v>
      </c>
      <c r="M24" s="28" t="s">
        <v>134</v>
      </c>
      <c r="P24" s="32">
        <f>IF(AG24="5",J24,0)</f>
        <v>0</v>
      </c>
      <c r="R24" s="32">
        <f>IF(AG24="1",H24,0)</f>
        <v>0</v>
      </c>
      <c r="S24" s="32">
        <f>IF(AG24="1",I24,0)</f>
        <v>0</v>
      </c>
      <c r="T24" s="32">
        <f>IF(AG24="7",H24,0)</f>
        <v>0</v>
      </c>
      <c r="U24" s="32">
        <f>IF(AG24="7",I24,0)</f>
        <v>0</v>
      </c>
      <c r="V24" s="32">
        <f>IF(AG24="2",H24,0)</f>
        <v>0</v>
      </c>
      <c r="W24" s="32">
        <f>IF(AG24="2",I24,0)</f>
        <v>0</v>
      </c>
      <c r="X24" s="32">
        <f>IF(AG24="0",J24,0)</f>
        <v>0</v>
      </c>
      <c r="Y24" s="25"/>
      <c r="Z24" s="17">
        <f>IF(AD24=0,J24,0)</f>
        <v>0</v>
      </c>
      <c r="AA24" s="17">
        <f>IF(AD24=15,J24,0)</f>
        <v>0</v>
      </c>
      <c r="AB24" s="17">
        <f>IF(AD24=21,J24,0)</f>
        <v>0</v>
      </c>
      <c r="AD24" s="32">
        <v>21</v>
      </c>
      <c r="AE24" s="32">
        <f>G24*0.637769244984703</f>
        <v>0</v>
      </c>
      <c r="AF24" s="32">
        <f>G24*(1-0.637769244984703)</f>
        <v>0</v>
      </c>
      <c r="AG24" s="28" t="s">
        <v>13</v>
      </c>
      <c r="AM24" s="32">
        <f>F24*AE24</f>
        <v>0</v>
      </c>
      <c r="AN24" s="32">
        <f>F24*AF24</f>
        <v>0</v>
      </c>
      <c r="AO24" s="33" t="s">
        <v>145</v>
      </c>
      <c r="AP24" s="33" t="s">
        <v>150</v>
      </c>
      <c r="AQ24" s="25" t="s">
        <v>153</v>
      </c>
      <c r="AS24" s="32">
        <f>AM24+AN24</f>
        <v>0</v>
      </c>
      <c r="AT24" s="32">
        <f>G24/(100-AU24)*100</f>
        <v>0</v>
      </c>
      <c r="AU24" s="32">
        <v>0</v>
      </c>
      <c r="AV24" s="32">
        <f>L24</f>
        <v>0.00102</v>
      </c>
    </row>
    <row r="25" spans="1:48" ht="12.75">
      <c r="A25" s="4" t="s">
        <v>17</v>
      </c>
      <c r="B25" s="4"/>
      <c r="C25" s="4" t="s">
        <v>48</v>
      </c>
      <c r="D25" s="4" t="s">
        <v>85</v>
      </c>
      <c r="E25" s="4" t="s">
        <v>112</v>
      </c>
      <c r="F25" s="17">
        <v>1</v>
      </c>
      <c r="G25" s="17">
        <v>0</v>
      </c>
      <c r="H25" s="17">
        <f>F25*AE25</f>
        <v>0</v>
      </c>
      <c r="I25" s="17">
        <f>J25-H25</f>
        <v>0</v>
      </c>
      <c r="J25" s="17">
        <f>F25*G25</f>
        <v>0</v>
      </c>
      <c r="K25" s="17">
        <v>0.00016</v>
      </c>
      <c r="L25" s="17">
        <f>F25*K25</f>
        <v>0.00016</v>
      </c>
      <c r="M25" s="28" t="s">
        <v>133</v>
      </c>
      <c r="P25" s="32">
        <f>IF(AG25="5",J25,0)</f>
        <v>0</v>
      </c>
      <c r="R25" s="32">
        <f>IF(AG25="1",H25,0)</f>
        <v>0</v>
      </c>
      <c r="S25" s="32">
        <f>IF(AG25="1",I25,0)</f>
        <v>0</v>
      </c>
      <c r="T25" s="32">
        <f>IF(AG25="7",H25,0)</f>
        <v>0</v>
      </c>
      <c r="U25" s="32">
        <f>IF(AG25="7",I25,0)</f>
        <v>0</v>
      </c>
      <c r="V25" s="32">
        <f>IF(AG25="2",H25,0)</f>
        <v>0</v>
      </c>
      <c r="W25" s="32">
        <f>IF(AG25="2",I25,0)</f>
        <v>0</v>
      </c>
      <c r="X25" s="32">
        <f>IF(AG25="0",J25,0)</f>
        <v>0</v>
      </c>
      <c r="Y25" s="25"/>
      <c r="Z25" s="17">
        <f>IF(AD25=0,J25,0)</f>
        <v>0</v>
      </c>
      <c r="AA25" s="17">
        <f>IF(AD25=15,J25,0)</f>
        <v>0</v>
      </c>
      <c r="AB25" s="17">
        <f>IF(AD25=21,J25,0)</f>
        <v>0</v>
      </c>
      <c r="AD25" s="32">
        <v>21</v>
      </c>
      <c r="AE25" s="32">
        <f>G25*0.813097826086957</f>
        <v>0</v>
      </c>
      <c r="AF25" s="32">
        <f>G25*(1-0.813097826086957)</f>
        <v>0</v>
      </c>
      <c r="AG25" s="28" t="s">
        <v>13</v>
      </c>
      <c r="AM25" s="32">
        <f>F25*AE25</f>
        <v>0</v>
      </c>
      <c r="AN25" s="32">
        <f>F25*AF25</f>
        <v>0</v>
      </c>
      <c r="AO25" s="33" t="s">
        <v>145</v>
      </c>
      <c r="AP25" s="33" t="s">
        <v>150</v>
      </c>
      <c r="AQ25" s="25" t="s">
        <v>153</v>
      </c>
      <c r="AS25" s="32">
        <f>AM25+AN25</f>
        <v>0</v>
      </c>
      <c r="AT25" s="32">
        <f>G25/(100-AU25)*100</f>
        <v>0</v>
      </c>
      <c r="AU25" s="32">
        <v>0</v>
      </c>
      <c r="AV25" s="32">
        <f>L25</f>
        <v>0.00016</v>
      </c>
    </row>
    <row r="26" spans="1:48" ht="12.75">
      <c r="A26" s="4" t="s">
        <v>18</v>
      </c>
      <c r="B26" s="4"/>
      <c r="C26" s="4" t="s">
        <v>49</v>
      </c>
      <c r="D26" s="4" t="s">
        <v>86</v>
      </c>
      <c r="E26" s="4" t="s">
        <v>111</v>
      </c>
      <c r="F26" s="17">
        <v>0.00118</v>
      </c>
      <c r="G26" s="17">
        <v>0</v>
      </c>
      <c r="H26" s="17">
        <f>F26*AE26</f>
        <v>0</v>
      </c>
      <c r="I26" s="17">
        <f>J26-H26</f>
        <v>0</v>
      </c>
      <c r="J26" s="17">
        <f>F26*G26</f>
        <v>0</v>
      </c>
      <c r="K26" s="17">
        <v>0</v>
      </c>
      <c r="L26" s="17">
        <f>F26*K26</f>
        <v>0</v>
      </c>
      <c r="M26" s="28" t="s">
        <v>133</v>
      </c>
      <c r="P26" s="32">
        <f>IF(AG26="5",J26,0)</f>
        <v>0</v>
      </c>
      <c r="R26" s="32">
        <f>IF(AG26="1",H26,0)</f>
        <v>0</v>
      </c>
      <c r="S26" s="32">
        <f>IF(AG26="1",I26,0)</f>
        <v>0</v>
      </c>
      <c r="T26" s="32">
        <f>IF(AG26="7",H26,0)</f>
        <v>0</v>
      </c>
      <c r="U26" s="32">
        <f>IF(AG26="7",I26,0)</f>
        <v>0</v>
      </c>
      <c r="V26" s="32">
        <f>IF(AG26="2",H26,0)</f>
        <v>0</v>
      </c>
      <c r="W26" s="32">
        <f>IF(AG26="2",I26,0)</f>
        <v>0</v>
      </c>
      <c r="X26" s="32">
        <f>IF(AG26="0",J26,0)</f>
        <v>0</v>
      </c>
      <c r="Y26" s="25"/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2">
        <v>21</v>
      </c>
      <c r="AE26" s="32">
        <f>G26*0</f>
        <v>0</v>
      </c>
      <c r="AF26" s="32">
        <f>G26*(1-0)</f>
        <v>0</v>
      </c>
      <c r="AG26" s="28" t="s">
        <v>11</v>
      </c>
      <c r="AM26" s="32">
        <f>F26*AE26</f>
        <v>0</v>
      </c>
      <c r="AN26" s="32">
        <f>F26*AF26</f>
        <v>0</v>
      </c>
      <c r="AO26" s="33" t="s">
        <v>145</v>
      </c>
      <c r="AP26" s="33" t="s">
        <v>150</v>
      </c>
      <c r="AQ26" s="25" t="s">
        <v>153</v>
      </c>
      <c r="AS26" s="32">
        <f>AM26+AN26</f>
        <v>0</v>
      </c>
      <c r="AT26" s="32">
        <f>G26/(100-AU26)*100</f>
        <v>0</v>
      </c>
      <c r="AU26" s="32">
        <v>0</v>
      </c>
      <c r="AV26" s="32">
        <f>L26</f>
        <v>0</v>
      </c>
    </row>
    <row r="27" spans="1:37" ht="12.75">
      <c r="A27" s="5"/>
      <c r="B27" s="12"/>
      <c r="C27" s="12" t="s">
        <v>50</v>
      </c>
      <c r="D27" s="12" t="s">
        <v>87</v>
      </c>
      <c r="E27" s="5" t="s">
        <v>6</v>
      </c>
      <c r="F27" s="5" t="s">
        <v>6</v>
      </c>
      <c r="G27" s="5" t="s">
        <v>6</v>
      </c>
      <c r="H27" s="35">
        <f>SUM(H28:H36)</f>
        <v>0</v>
      </c>
      <c r="I27" s="35">
        <f>SUM(I28:I36)</f>
        <v>0</v>
      </c>
      <c r="J27" s="35">
        <f>H27+I27</f>
        <v>0</v>
      </c>
      <c r="K27" s="25"/>
      <c r="L27" s="35">
        <f>SUM(L28:L36)</f>
        <v>0.229624</v>
      </c>
      <c r="M27" s="25"/>
      <c r="Y27" s="25"/>
      <c r="AI27" s="35">
        <f>SUM(Z28:Z36)</f>
        <v>0</v>
      </c>
      <c r="AJ27" s="35">
        <f>SUM(AA28:AA36)</f>
        <v>0</v>
      </c>
      <c r="AK27" s="35">
        <f>SUM(AB28:AB36)</f>
        <v>0</v>
      </c>
    </row>
    <row r="28" spans="1:48" ht="12.75">
      <c r="A28" s="4" t="s">
        <v>19</v>
      </c>
      <c r="B28" s="4"/>
      <c r="C28" s="4" t="s">
        <v>51</v>
      </c>
      <c r="D28" s="4" t="s">
        <v>88</v>
      </c>
      <c r="E28" s="4" t="s">
        <v>113</v>
      </c>
      <c r="F28" s="17">
        <v>5.18</v>
      </c>
      <c r="G28" s="17">
        <v>0</v>
      </c>
      <c r="H28" s="17">
        <f aca="true" t="shared" si="20" ref="H28:H36">F28*AE28</f>
        <v>0</v>
      </c>
      <c r="I28" s="17">
        <f aca="true" t="shared" si="21" ref="I28:I36">J28-H28</f>
        <v>0</v>
      </c>
      <c r="J28" s="17">
        <f aca="true" t="shared" si="22" ref="J28:J36">F28*G28</f>
        <v>0</v>
      </c>
      <c r="K28" s="17">
        <v>0.0238</v>
      </c>
      <c r="L28" s="17">
        <f aca="true" t="shared" si="23" ref="L28:L36">F28*K28</f>
        <v>0.123284</v>
      </c>
      <c r="M28" s="28" t="s">
        <v>133</v>
      </c>
      <c r="P28" s="32">
        <f aca="true" t="shared" si="24" ref="P28:P36">IF(AG28="5",J28,0)</f>
        <v>0</v>
      </c>
      <c r="R28" s="32">
        <f aca="true" t="shared" si="25" ref="R28:R36">IF(AG28="1",H28,0)</f>
        <v>0</v>
      </c>
      <c r="S28" s="32">
        <f aca="true" t="shared" si="26" ref="S28:S36">IF(AG28="1",I28,0)</f>
        <v>0</v>
      </c>
      <c r="T28" s="32">
        <f aca="true" t="shared" si="27" ref="T28:T36">IF(AG28="7",H28,0)</f>
        <v>0</v>
      </c>
      <c r="U28" s="32">
        <f aca="true" t="shared" si="28" ref="U28:U36">IF(AG28="7",I28,0)</f>
        <v>0</v>
      </c>
      <c r="V28" s="32">
        <f aca="true" t="shared" si="29" ref="V28:V36">IF(AG28="2",H28,0)</f>
        <v>0</v>
      </c>
      <c r="W28" s="32">
        <f aca="true" t="shared" si="30" ref="W28:W36">IF(AG28="2",I28,0)</f>
        <v>0</v>
      </c>
      <c r="X28" s="32">
        <f aca="true" t="shared" si="31" ref="X28:X36">IF(AG28="0",J28,0)</f>
        <v>0</v>
      </c>
      <c r="Y28" s="25"/>
      <c r="Z28" s="17">
        <f aca="true" t="shared" si="32" ref="Z28:Z36">IF(AD28=0,J28,0)</f>
        <v>0</v>
      </c>
      <c r="AA28" s="17">
        <f aca="true" t="shared" si="33" ref="AA28:AA36">IF(AD28=15,J28,0)</f>
        <v>0</v>
      </c>
      <c r="AB28" s="17">
        <f aca="true" t="shared" si="34" ref="AB28:AB36">IF(AD28=21,J28,0)</f>
        <v>0</v>
      </c>
      <c r="AD28" s="32">
        <v>21</v>
      </c>
      <c r="AE28" s="32">
        <f>G28*0</f>
        <v>0</v>
      </c>
      <c r="AF28" s="32">
        <f>G28*(1-0)</f>
        <v>0</v>
      </c>
      <c r="AG28" s="28" t="s">
        <v>13</v>
      </c>
      <c r="AM28" s="32">
        <f aca="true" t="shared" si="35" ref="AM28:AM36">F28*AE28</f>
        <v>0</v>
      </c>
      <c r="AN28" s="32">
        <f aca="true" t="shared" si="36" ref="AN28:AN36">F28*AF28</f>
        <v>0</v>
      </c>
      <c r="AO28" s="33" t="s">
        <v>146</v>
      </c>
      <c r="AP28" s="33" t="s">
        <v>150</v>
      </c>
      <c r="AQ28" s="25" t="s">
        <v>153</v>
      </c>
      <c r="AS28" s="32">
        <f aca="true" t="shared" si="37" ref="AS28:AS36">AM28+AN28</f>
        <v>0</v>
      </c>
      <c r="AT28" s="32">
        <f aca="true" t="shared" si="38" ref="AT28:AT36">G28/(100-AU28)*100</f>
        <v>0</v>
      </c>
      <c r="AU28" s="32">
        <v>0</v>
      </c>
      <c r="AV28" s="32">
        <f aca="true" t="shared" si="39" ref="AV28:AV36">L28</f>
        <v>0.123284</v>
      </c>
    </row>
    <row r="29" spans="1:48" ht="12.75">
      <c r="A29" s="4" t="s">
        <v>20</v>
      </c>
      <c r="B29" s="4"/>
      <c r="C29" s="4" t="s">
        <v>52</v>
      </c>
      <c r="D29" s="4" t="s">
        <v>89</v>
      </c>
      <c r="E29" s="4" t="s">
        <v>111</v>
      </c>
      <c r="F29" s="17">
        <v>0.1233</v>
      </c>
      <c r="G29" s="17">
        <v>0</v>
      </c>
      <c r="H29" s="17">
        <f t="shared" si="20"/>
        <v>0</v>
      </c>
      <c r="I29" s="17">
        <f t="shared" si="21"/>
        <v>0</v>
      </c>
      <c r="J29" s="17">
        <f t="shared" si="22"/>
        <v>0</v>
      </c>
      <c r="K29" s="17">
        <v>0</v>
      </c>
      <c r="L29" s="17">
        <f t="shared" si="23"/>
        <v>0</v>
      </c>
      <c r="M29" s="28" t="s">
        <v>133</v>
      </c>
      <c r="P29" s="32">
        <f t="shared" si="24"/>
        <v>0</v>
      </c>
      <c r="R29" s="32">
        <f t="shared" si="25"/>
        <v>0</v>
      </c>
      <c r="S29" s="32">
        <f t="shared" si="26"/>
        <v>0</v>
      </c>
      <c r="T29" s="32">
        <f t="shared" si="27"/>
        <v>0</v>
      </c>
      <c r="U29" s="32">
        <f t="shared" si="28"/>
        <v>0</v>
      </c>
      <c r="V29" s="32">
        <f t="shared" si="29"/>
        <v>0</v>
      </c>
      <c r="W29" s="32">
        <f t="shared" si="30"/>
        <v>0</v>
      </c>
      <c r="X29" s="32">
        <f t="shared" si="31"/>
        <v>0</v>
      </c>
      <c r="Y29" s="25"/>
      <c r="Z29" s="17">
        <f t="shared" si="32"/>
        <v>0</v>
      </c>
      <c r="AA29" s="17">
        <f t="shared" si="33"/>
        <v>0</v>
      </c>
      <c r="AB29" s="17">
        <f t="shared" si="34"/>
        <v>0</v>
      </c>
      <c r="AD29" s="32">
        <v>21</v>
      </c>
      <c r="AE29" s="32">
        <f>G29*0</f>
        <v>0</v>
      </c>
      <c r="AF29" s="32">
        <f>G29*(1-0)</f>
        <v>0</v>
      </c>
      <c r="AG29" s="28" t="s">
        <v>13</v>
      </c>
      <c r="AM29" s="32">
        <f t="shared" si="35"/>
        <v>0</v>
      </c>
      <c r="AN29" s="32">
        <f t="shared" si="36"/>
        <v>0</v>
      </c>
      <c r="AO29" s="33" t="s">
        <v>146</v>
      </c>
      <c r="AP29" s="33" t="s">
        <v>150</v>
      </c>
      <c r="AQ29" s="25" t="s">
        <v>153</v>
      </c>
      <c r="AS29" s="32">
        <f t="shared" si="37"/>
        <v>0</v>
      </c>
      <c r="AT29" s="32">
        <f t="shared" si="38"/>
        <v>0</v>
      </c>
      <c r="AU29" s="32">
        <v>0</v>
      </c>
      <c r="AV29" s="32">
        <f t="shared" si="39"/>
        <v>0</v>
      </c>
    </row>
    <row r="30" spans="1:48" ht="12.75">
      <c r="A30" s="4" t="s">
        <v>21</v>
      </c>
      <c r="B30" s="4"/>
      <c r="C30" s="4" t="s">
        <v>53</v>
      </c>
      <c r="D30" s="4" t="s">
        <v>90</v>
      </c>
      <c r="E30" s="4" t="s">
        <v>113</v>
      </c>
      <c r="F30" s="17">
        <v>5.18</v>
      </c>
      <c r="G30" s="17">
        <v>0</v>
      </c>
      <c r="H30" s="17">
        <f t="shared" si="20"/>
        <v>0</v>
      </c>
      <c r="I30" s="17">
        <f t="shared" si="21"/>
        <v>0</v>
      </c>
      <c r="J30" s="17">
        <f t="shared" si="22"/>
        <v>0</v>
      </c>
      <c r="K30" s="17">
        <v>0</v>
      </c>
      <c r="L30" s="17">
        <f t="shared" si="23"/>
        <v>0</v>
      </c>
      <c r="M30" s="28" t="s">
        <v>133</v>
      </c>
      <c r="P30" s="32">
        <f t="shared" si="24"/>
        <v>0</v>
      </c>
      <c r="R30" s="32">
        <f t="shared" si="25"/>
        <v>0</v>
      </c>
      <c r="S30" s="32">
        <f t="shared" si="26"/>
        <v>0</v>
      </c>
      <c r="T30" s="32">
        <f t="shared" si="27"/>
        <v>0</v>
      </c>
      <c r="U30" s="32">
        <f t="shared" si="28"/>
        <v>0</v>
      </c>
      <c r="V30" s="32">
        <f t="shared" si="29"/>
        <v>0</v>
      </c>
      <c r="W30" s="32">
        <f t="shared" si="30"/>
        <v>0</v>
      </c>
      <c r="X30" s="32">
        <f t="shared" si="31"/>
        <v>0</v>
      </c>
      <c r="Y30" s="25"/>
      <c r="Z30" s="17">
        <f t="shared" si="32"/>
        <v>0</v>
      </c>
      <c r="AA30" s="17">
        <f t="shared" si="33"/>
        <v>0</v>
      </c>
      <c r="AB30" s="17">
        <f t="shared" si="34"/>
        <v>0</v>
      </c>
      <c r="AD30" s="32">
        <v>21</v>
      </c>
      <c r="AE30" s="32">
        <f>G30*0</f>
        <v>0</v>
      </c>
      <c r="AF30" s="32">
        <f>G30*(1-0)</f>
        <v>0</v>
      </c>
      <c r="AG30" s="28" t="s">
        <v>13</v>
      </c>
      <c r="AM30" s="32">
        <f t="shared" si="35"/>
        <v>0</v>
      </c>
      <c r="AN30" s="32">
        <f t="shared" si="36"/>
        <v>0</v>
      </c>
      <c r="AO30" s="33" t="s">
        <v>146</v>
      </c>
      <c r="AP30" s="33" t="s">
        <v>150</v>
      </c>
      <c r="AQ30" s="25" t="s">
        <v>153</v>
      </c>
      <c r="AS30" s="32">
        <f t="shared" si="37"/>
        <v>0</v>
      </c>
      <c r="AT30" s="32">
        <f t="shared" si="38"/>
        <v>0</v>
      </c>
      <c r="AU30" s="32">
        <v>0</v>
      </c>
      <c r="AV30" s="32">
        <f t="shared" si="39"/>
        <v>0</v>
      </c>
    </row>
    <row r="31" spans="1:48" ht="12.75">
      <c r="A31" s="4" t="s">
        <v>22</v>
      </c>
      <c r="B31" s="4"/>
      <c r="C31" s="4" t="s">
        <v>54</v>
      </c>
      <c r="D31" s="4" t="s">
        <v>91</v>
      </c>
      <c r="E31" s="4" t="s">
        <v>112</v>
      </c>
      <c r="F31" s="17">
        <v>1</v>
      </c>
      <c r="G31" s="17">
        <v>0</v>
      </c>
      <c r="H31" s="17">
        <f t="shared" si="20"/>
        <v>0</v>
      </c>
      <c r="I31" s="17">
        <f t="shared" si="21"/>
        <v>0</v>
      </c>
      <c r="J31" s="17">
        <f t="shared" si="22"/>
        <v>0</v>
      </c>
      <c r="K31" s="17">
        <v>0.07714</v>
      </c>
      <c r="L31" s="17">
        <f t="shared" si="23"/>
        <v>0.07714</v>
      </c>
      <c r="M31" s="28" t="s">
        <v>133</v>
      </c>
      <c r="P31" s="32">
        <f t="shared" si="24"/>
        <v>0</v>
      </c>
      <c r="R31" s="32">
        <f t="shared" si="25"/>
        <v>0</v>
      </c>
      <c r="S31" s="32">
        <f t="shared" si="26"/>
        <v>0</v>
      </c>
      <c r="T31" s="32">
        <f t="shared" si="27"/>
        <v>0</v>
      </c>
      <c r="U31" s="32">
        <f t="shared" si="28"/>
        <v>0</v>
      </c>
      <c r="V31" s="32">
        <f t="shared" si="29"/>
        <v>0</v>
      </c>
      <c r="W31" s="32">
        <f t="shared" si="30"/>
        <v>0</v>
      </c>
      <c r="X31" s="32">
        <f t="shared" si="31"/>
        <v>0</v>
      </c>
      <c r="Y31" s="25"/>
      <c r="Z31" s="17">
        <f t="shared" si="32"/>
        <v>0</v>
      </c>
      <c r="AA31" s="17">
        <f t="shared" si="33"/>
        <v>0</v>
      </c>
      <c r="AB31" s="17">
        <f t="shared" si="34"/>
        <v>0</v>
      </c>
      <c r="AD31" s="32">
        <v>21</v>
      </c>
      <c r="AE31" s="32">
        <f>G31*0.938450476889215</f>
        <v>0</v>
      </c>
      <c r="AF31" s="32">
        <f>G31*(1-0.938450476889215)</f>
        <v>0</v>
      </c>
      <c r="AG31" s="28" t="s">
        <v>13</v>
      </c>
      <c r="AM31" s="32">
        <f t="shared" si="35"/>
        <v>0</v>
      </c>
      <c r="AN31" s="32">
        <f t="shared" si="36"/>
        <v>0</v>
      </c>
      <c r="AO31" s="33" t="s">
        <v>146</v>
      </c>
      <c r="AP31" s="33" t="s">
        <v>150</v>
      </c>
      <c r="AQ31" s="25" t="s">
        <v>153</v>
      </c>
      <c r="AS31" s="32">
        <f t="shared" si="37"/>
        <v>0</v>
      </c>
      <c r="AT31" s="32">
        <f t="shared" si="38"/>
        <v>0</v>
      </c>
      <c r="AU31" s="32">
        <v>0</v>
      </c>
      <c r="AV31" s="32">
        <f t="shared" si="39"/>
        <v>0.07714</v>
      </c>
    </row>
    <row r="32" spans="1:48" ht="12.75">
      <c r="A32" s="4" t="s">
        <v>23</v>
      </c>
      <c r="B32" s="4"/>
      <c r="C32" s="4" t="s">
        <v>55</v>
      </c>
      <c r="D32" s="4" t="s">
        <v>92</v>
      </c>
      <c r="E32" s="4" t="s">
        <v>112</v>
      </c>
      <c r="F32" s="17">
        <v>1</v>
      </c>
      <c r="G32" s="17">
        <v>0</v>
      </c>
      <c r="H32" s="17">
        <f t="shared" si="20"/>
        <v>0</v>
      </c>
      <c r="I32" s="17">
        <f t="shared" si="21"/>
        <v>0</v>
      </c>
      <c r="J32" s="17">
        <f t="shared" si="22"/>
        <v>0</v>
      </c>
      <c r="K32" s="17">
        <v>0.02904</v>
      </c>
      <c r="L32" s="17">
        <f t="shared" si="23"/>
        <v>0.02904</v>
      </c>
      <c r="M32" s="28" t="s">
        <v>133</v>
      </c>
      <c r="P32" s="32">
        <f t="shared" si="24"/>
        <v>0</v>
      </c>
      <c r="R32" s="32">
        <f t="shared" si="25"/>
        <v>0</v>
      </c>
      <c r="S32" s="32">
        <f t="shared" si="26"/>
        <v>0</v>
      </c>
      <c r="T32" s="32">
        <f t="shared" si="27"/>
        <v>0</v>
      </c>
      <c r="U32" s="32">
        <f t="shared" si="28"/>
        <v>0</v>
      </c>
      <c r="V32" s="32">
        <f t="shared" si="29"/>
        <v>0</v>
      </c>
      <c r="W32" s="32">
        <f t="shared" si="30"/>
        <v>0</v>
      </c>
      <c r="X32" s="32">
        <f t="shared" si="31"/>
        <v>0</v>
      </c>
      <c r="Y32" s="25"/>
      <c r="Z32" s="17">
        <f t="shared" si="32"/>
        <v>0</v>
      </c>
      <c r="AA32" s="17">
        <f t="shared" si="33"/>
        <v>0</v>
      </c>
      <c r="AB32" s="17">
        <f t="shared" si="34"/>
        <v>0</v>
      </c>
      <c r="AD32" s="32">
        <v>21</v>
      </c>
      <c r="AE32" s="32">
        <f>G32*0.902260837569251</f>
        <v>0</v>
      </c>
      <c r="AF32" s="32">
        <f>G32*(1-0.902260837569251)</f>
        <v>0</v>
      </c>
      <c r="AG32" s="28" t="s">
        <v>13</v>
      </c>
      <c r="AM32" s="32">
        <f t="shared" si="35"/>
        <v>0</v>
      </c>
      <c r="AN32" s="32">
        <f t="shared" si="36"/>
        <v>0</v>
      </c>
      <c r="AO32" s="33" t="s">
        <v>146</v>
      </c>
      <c r="AP32" s="33" t="s">
        <v>150</v>
      </c>
      <c r="AQ32" s="25" t="s">
        <v>153</v>
      </c>
      <c r="AS32" s="32">
        <f t="shared" si="37"/>
        <v>0</v>
      </c>
      <c r="AT32" s="32">
        <f t="shared" si="38"/>
        <v>0</v>
      </c>
      <c r="AU32" s="32">
        <v>0</v>
      </c>
      <c r="AV32" s="32">
        <f t="shared" si="39"/>
        <v>0.02904</v>
      </c>
    </row>
    <row r="33" spans="1:48" ht="12.75">
      <c r="A33" s="4" t="s">
        <v>24</v>
      </c>
      <c r="B33" s="4"/>
      <c r="C33" s="4" t="s">
        <v>56</v>
      </c>
      <c r="D33" s="4" t="s">
        <v>93</v>
      </c>
      <c r="E33" s="4" t="s">
        <v>112</v>
      </c>
      <c r="F33" s="17">
        <v>2</v>
      </c>
      <c r="G33" s="17">
        <v>0</v>
      </c>
      <c r="H33" s="17">
        <f t="shared" si="20"/>
        <v>0</v>
      </c>
      <c r="I33" s="17">
        <f t="shared" si="21"/>
        <v>0</v>
      </c>
      <c r="J33" s="17">
        <f t="shared" si="22"/>
        <v>0</v>
      </c>
      <c r="K33" s="17">
        <v>0</v>
      </c>
      <c r="L33" s="17">
        <f t="shared" si="23"/>
        <v>0</v>
      </c>
      <c r="M33" s="28" t="s">
        <v>133</v>
      </c>
      <c r="P33" s="32">
        <f t="shared" si="24"/>
        <v>0</v>
      </c>
      <c r="R33" s="32">
        <f t="shared" si="25"/>
        <v>0</v>
      </c>
      <c r="S33" s="32">
        <f t="shared" si="26"/>
        <v>0</v>
      </c>
      <c r="T33" s="32">
        <f t="shared" si="27"/>
        <v>0</v>
      </c>
      <c r="U33" s="32">
        <f t="shared" si="28"/>
        <v>0</v>
      </c>
      <c r="V33" s="32">
        <f t="shared" si="29"/>
        <v>0</v>
      </c>
      <c r="W33" s="32">
        <f t="shared" si="30"/>
        <v>0</v>
      </c>
      <c r="X33" s="32">
        <f t="shared" si="31"/>
        <v>0</v>
      </c>
      <c r="Y33" s="25"/>
      <c r="Z33" s="17">
        <f t="shared" si="32"/>
        <v>0</v>
      </c>
      <c r="AA33" s="17">
        <f t="shared" si="33"/>
        <v>0</v>
      </c>
      <c r="AB33" s="17">
        <f t="shared" si="34"/>
        <v>0</v>
      </c>
      <c r="AD33" s="32">
        <v>21</v>
      </c>
      <c r="AE33" s="32">
        <f>G33*0</f>
        <v>0</v>
      </c>
      <c r="AF33" s="32">
        <f>G33*(1-0)</f>
        <v>0</v>
      </c>
      <c r="AG33" s="28" t="s">
        <v>13</v>
      </c>
      <c r="AM33" s="32">
        <f t="shared" si="35"/>
        <v>0</v>
      </c>
      <c r="AN33" s="32">
        <f t="shared" si="36"/>
        <v>0</v>
      </c>
      <c r="AO33" s="33" t="s">
        <v>146</v>
      </c>
      <c r="AP33" s="33" t="s">
        <v>150</v>
      </c>
      <c r="AQ33" s="25" t="s">
        <v>153</v>
      </c>
      <c r="AS33" s="32">
        <f t="shared" si="37"/>
        <v>0</v>
      </c>
      <c r="AT33" s="32">
        <f t="shared" si="38"/>
        <v>0</v>
      </c>
      <c r="AU33" s="32">
        <v>0</v>
      </c>
      <c r="AV33" s="32">
        <f t="shared" si="39"/>
        <v>0</v>
      </c>
    </row>
    <row r="34" spans="1:48" ht="12.75">
      <c r="A34" s="4" t="s">
        <v>25</v>
      </c>
      <c r="B34" s="4"/>
      <c r="C34" s="4" t="s">
        <v>57</v>
      </c>
      <c r="D34" s="4" t="s">
        <v>94</v>
      </c>
      <c r="E34" s="4" t="s">
        <v>112</v>
      </c>
      <c r="F34" s="17">
        <v>2</v>
      </c>
      <c r="G34" s="17">
        <v>0</v>
      </c>
      <c r="H34" s="17">
        <f t="shared" si="20"/>
        <v>0</v>
      </c>
      <c r="I34" s="17">
        <f t="shared" si="21"/>
        <v>0</v>
      </c>
      <c r="J34" s="17">
        <f t="shared" si="22"/>
        <v>0</v>
      </c>
      <c r="K34" s="17">
        <v>4E-05</v>
      </c>
      <c r="L34" s="17">
        <f t="shared" si="23"/>
        <v>8E-05</v>
      </c>
      <c r="M34" s="28" t="s">
        <v>133</v>
      </c>
      <c r="P34" s="32">
        <f t="shared" si="24"/>
        <v>0</v>
      </c>
      <c r="R34" s="32">
        <f t="shared" si="25"/>
        <v>0</v>
      </c>
      <c r="S34" s="32">
        <f t="shared" si="26"/>
        <v>0</v>
      </c>
      <c r="T34" s="32">
        <f t="shared" si="27"/>
        <v>0</v>
      </c>
      <c r="U34" s="32">
        <f t="shared" si="28"/>
        <v>0</v>
      </c>
      <c r="V34" s="32">
        <f t="shared" si="29"/>
        <v>0</v>
      </c>
      <c r="W34" s="32">
        <f t="shared" si="30"/>
        <v>0</v>
      </c>
      <c r="X34" s="32">
        <f t="shared" si="31"/>
        <v>0</v>
      </c>
      <c r="Y34" s="25"/>
      <c r="Z34" s="17">
        <f t="shared" si="32"/>
        <v>0</v>
      </c>
      <c r="AA34" s="17">
        <f t="shared" si="33"/>
        <v>0</v>
      </c>
      <c r="AB34" s="17">
        <f t="shared" si="34"/>
        <v>0</v>
      </c>
      <c r="AD34" s="32">
        <v>21</v>
      </c>
      <c r="AE34" s="32">
        <f>G34*0.4862</f>
        <v>0</v>
      </c>
      <c r="AF34" s="32">
        <f>G34*(1-0.4862)</f>
        <v>0</v>
      </c>
      <c r="AG34" s="28" t="s">
        <v>13</v>
      </c>
      <c r="AM34" s="32">
        <f t="shared" si="35"/>
        <v>0</v>
      </c>
      <c r="AN34" s="32">
        <f t="shared" si="36"/>
        <v>0</v>
      </c>
      <c r="AO34" s="33" t="s">
        <v>146</v>
      </c>
      <c r="AP34" s="33" t="s">
        <v>150</v>
      </c>
      <c r="AQ34" s="25" t="s">
        <v>153</v>
      </c>
      <c r="AS34" s="32">
        <f t="shared" si="37"/>
        <v>0</v>
      </c>
      <c r="AT34" s="32">
        <f t="shared" si="38"/>
        <v>0</v>
      </c>
      <c r="AU34" s="32">
        <v>0</v>
      </c>
      <c r="AV34" s="32">
        <f t="shared" si="39"/>
        <v>8E-05</v>
      </c>
    </row>
    <row r="35" spans="1:48" ht="12.75">
      <c r="A35" s="4" t="s">
        <v>26</v>
      </c>
      <c r="B35" s="4"/>
      <c r="C35" s="4" t="s">
        <v>57</v>
      </c>
      <c r="D35" s="4" t="s">
        <v>94</v>
      </c>
      <c r="E35" s="4" t="s">
        <v>112</v>
      </c>
      <c r="F35" s="17">
        <v>2</v>
      </c>
      <c r="G35" s="17">
        <v>0</v>
      </c>
      <c r="H35" s="17">
        <f t="shared" si="20"/>
        <v>0</v>
      </c>
      <c r="I35" s="17">
        <f t="shared" si="21"/>
        <v>0</v>
      </c>
      <c r="J35" s="17">
        <f t="shared" si="22"/>
        <v>0</v>
      </c>
      <c r="K35" s="17">
        <v>4E-05</v>
      </c>
      <c r="L35" s="17">
        <f t="shared" si="23"/>
        <v>8E-05</v>
      </c>
      <c r="M35" s="28" t="s">
        <v>133</v>
      </c>
      <c r="P35" s="32">
        <f t="shared" si="24"/>
        <v>0</v>
      </c>
      <c r="R35" s="32">
        <f t="shared" si="25"/>
        <v>0</v>
      </c>
      <c r="S35" s="32">
        <f t="shared" si="26"/>
        <v>0</v>
      </c>
      <c r="T35" s="32">
        <f t="shared" si="27"/>
        <v>0</v>
      </c>
      <c r="U35" s="32">
        <f t="shared" si="28"/>
        <v>0</v>
      </c>
      <c r="V35" s="32">
        <f t="shared" si="29"/>
        <v>0</v>
      </c>
      <c r="W35" s="32">
        <f t="shared" si="30"/>
        <v>0</v>
      </c>
      <c r="X35" s="32">
        <f t="shared" si="31"/>
        <v>0</v>
      </c>
      <c r="Y35" s="25"/>
      <c r="Z35" s="17">
        <f t="shared" si="32"/>
        <v>0</v>
      </c>
      <c r="AA35" s="17">
        <f t="shared" si="33"/>
        <v>0</v>
      </c>
      <c r="AB35" s="17">
        <f t="shared" si="34"/>
        <v>0</v>
      </c>
      <c r="AD35" s="32">
        <v>21</v>
      </c>
      <c r="AE35" s="32">
        <f>G35*0.4862</f>
        <v>0</v>
      </c>
      <c r="AF35" s="32">
        <f>G35*(1-0.4862)</f>
        <v>0</v>
      </c>
      <c r="AG35" s="28" t="s">
        <v>13</v>
      </c>
      <c r="AM35" s="32">
        <f t="shared" si="35"/>
        <v>0</v>
      </c>
      <c r="AN35" s="32">
        <f t="shared" si="36"/>
        <v>0</v>
      </c>
      <c r="AO35" s="33" t="s">
        <v>146</v>
      </c>
      <c r="AP35" s="33" t="s">
        <v>150</v>
      </c>
      <c r="AQ35" s="25" t="s">
        <v>153</v>
      </c>
      <c r="AS35" s="32">
        <f t="shared" si="37"/>
        <v>0</v>
      </c>
      <c r="AT35" s="32">
        <f t="shared" si="38"/>
        <v>0</v>
      </c>
      <c r="AU35" s="32">
        <v>0</v>
      </c>
      <c r="AV35" s="32">
        <f t="shared" si="39"/>
        <v>8E-05</v>
      </c>
    </row>
    <row r="36" spans="1:48" ht="12.75">
      <c r="A36" s="4" t="s">
        <v>27</v>
      </c>
      <c r="B36" s="4"/>
      <c r="C36" s="4" t="s">
        <v>58</v>
      </c>
      <c r="D36" s="4" t="s">
        <v>95</v>
      </c>
      <c r="E36" s="4" t="s">
        <v>111</v>
      </c>
      <c r="F36" s="17">
        <v>0.10634</v>
      </c>
      <c r="G36" s="17">
        <v>0</v>
      </c>
      <c r="H36" s="17">
        <f t="shared" si="20"/>
        <v>0</v>
      </c>
      <c r="I36" s="17">
        <f t="shared" si="21"/>
        <v>0</v>
      </c>
      <c r="J36" s="17">
        <f t="shared" si="22"/>
        <v>0</v>
      </c>
      <c r="K36" s="17">
        <v>0</v>
      </c>
      <c r="L36" s="17">
        <f t="shared" si="23"/>
        <v>0</v>
      </c>
      <c r="M36" s="28" t="s">
        <v>133</v>
      </c>
      <c r="P36" s="32">
        <f t="shared" si="24"/>
        <v>0</v>
      </c>
      <c r="R36" s="32">
        <f t="shared" si="25"/>
        <v>0</v>
      </c>
      <c r="S36" s="32">
        <f t="shared" si="26"/>
        <v>0</v>
      </c>
      <c r="T36" s="32">
        <f t="shared" si="27"/>
        <v>0</v>
      </c>
      <c r="U36" s="32">
        <f t="shared" si="28"/>
        <v>0</v>
      </c>
      <c r="V36" s="32">
        <f t="shared" si="29"/>
        <v>0</v>
      </c>
      <c r="W36" s="32">
        <f t="shared" si="30"/>
        <v>0</v>
      </c>
      <c r="X36" s="32">
        <f t="shared" si="31"/>
        <v>0</v>
      </c>
      <c r="Y36" s="25"/>
      <c r="Z36" s="17">
        <f t="shared" si="32"/>
        <v>0</v>
      </c>
      <c r="AA36" s="17">
        <f t="shared" si="33"/>
        <v>0</v>
      </c>
      <c r="AB36" s="17">
        <f t="shared" si="34"/>
        <v>0</v>
      </c>
      <c r="AD36" s="32">
        <v>21</v>
      </c>
      <c r="AE36" s="32">
        <f>G36*0</f>
        <v>0</v>
      </c>
      <c r="AF36" s="32">
        <f>G36*(1-0)</f>
        <v>0</v>
      </c>
      <c r="AG36" s="28" t="s">
        <v>11</v>
      </c>
      <c r="AM36" s="32">
        <f t="shared" si="35"/>
        <v>0</v>
      </c>
      <c r="AN36" s="32">
        <f t="shared" si="36"/>
        <v>0</v>
      </c>
      <c r="AO36" s="33" t="s">
        <v>146</v>
      </c>
      <c r="AP36" s="33" t="s">
        <v>150</v>
      </c>
      <c r="AQ36" s="25" t="s">
        <v>153</v>
      </c>
      <c r="AS36" s="32">
        <f t="shared" si="37"/>
        <v>0</v>
      </c>
      <c r="AT36" s="32">
        <f t="shared" si="38"/>
        <v>0</v>
      </c>
      <c r="AU36" s="32">
        <v>0</v>
      </c>
      <c r="AV36" s="32">
        <f t="shared" si="39"/>
        <v>0</v>
      </c>
    </row>
    <row r="37" spans="1:37" ht="12.75">
      <c r="A37" s="5"/>
      <c r="B37" s="12"/>
      <c r="C37" s="12" t="s">
        <v>59</v>
      </c>
      <c r="D37" s="12" t="s">
        <v>96</v>
      </c>
      <c r="E37" s="5" t="s">
        <v>6</v>
      </c>
      <c r="F37" s="5" t="s">
        <v>6</v>
      </c>
      <c r="G37" s="5" t="s">
        <v>6</v>
      </c>
      <c r="H37" s="35">
        <f>SUM(H38:H38)</f>
        <v>0</v>
      </c>
      <c r="I37" s="35">
        <f>SUM(I38:I38)</f>
        <v>0</v>
      </c>
      <c r="J37" s="35">
        <f>H37+I37</f>
        <v>0</v>
      </c>
      <c r="K37" s="25"/>
      <c r="L37" s="35">
        <f>SUM(L38:L38)</f>
        <v>0.0008399999999999999</v>
      </c>
      <c r="M37" s="25"/>
      <c r="Y37" s="25"/>
      <c r="AI37" s="35">
        <f>SUM(Z38:Z38)</f>
        <v>0</v>
      </c>
      <c r="AJ37" s="35">
        <f>SUM(AA38:AA38)</f>
        <v>0</v>
      </c>
      <c r="AK37" s="35">
        <f>SUM(AB38:AB38)</f>
        <v>0</v>
      </c>
    </row>
    <row r="38" spans="1:48" ht="12.75">
      <c r="A38" s="4" t="s">
        <v>28</v>
      </c>
      <c r="B38" s="4"/>
      <c r="C38" s="4" t="s">
        <v>60</v>
      </c>
      <c r="D38" s="4" t="s">
        <v>97</v>
      </c>
      <c r="E38" s="4" t="s">
        <v>110</v>
      </c>
      <c r="F38" s="17">
        <v>12</v>
      </c>
      <c r="G38" s="17">
        <v>0</v>
      </c>
      <c r="H38" s="17">
        <f>F38*AE38</f>
        <v>0</v>
      </c>
      <c r="I38" s="17">
        <f>J38-H38</f>
        <v>0</v>
      </c>
      <c r="J38" s="17">
        <f>F38*G38</f>
        <v>0</v>
      </c>
      <c r="K38" s="17">
        <v>7E-05</v>
      </c>
      <c r="L38" s="17">
        <f>F38*K38</f>
        <v>0.0008399999999999999</v>
      </c>
      <c r="M38" s="28" t="s">
        <v>133</v>
      </c>
      <c r="P38" s="32">
        <f>IF(AG38="5",J38,0)</f>
        <v>0</v>
      </c>
      <c r="R38" s="32">
        <f>IF(AG38="1",H38,0)</f>
        <v>0</v>
      </c>
      <c r="S38" s="32">
        <f>IF(AG38="1",I38,0)</f>
        <v>0</v>
      </c>
      <c r="T38" s="32">
        <f>IF(AG38="7",H38,0)</f>
        <v>0</v>
      </c>
      <c r="U38" s="32">
        <f>IF(AG38="7",I38,0)</f>
        <v>0</v>
      </c>
      <c r="V38" s="32">
        <f>IF(AG38="2",H38,0)</f>
        <v>0</v>
      </c>
      <c r="W38" s="32">
        <f>IF(AG38="2",I38,0)</f>
        <v>0</v>
      </c>
      <c r="X38" s="32">
        <f>IF(AG38="0",J38,0)</f>
        <v>0</v>
      </c>
      <c r="Y38" s="25"/>
      <c r="Z38" s="17">
        <f>IF(AD38=0,J38,0)</f>
        <v>0</v>
      </c>
      <c r="AA38" s="17">
        <f>IF(AD38=15,J38,0)</f>
        <v>0</v>
      </c>
      <c r="AB38" s="17">
        <f>IF(AD38=21,J38,0)</f>
        <v>0</v>
      </c>
      <c r="AD38" s="32">
        <v>21</v>
      </c>
      <c r="AE38" s="32">
        <f>G38*0.197522522522523</f>
        <v>0</v>
      </c>
      <c r="AF38" s="32">
        <f>G38*(1-0.197522522522523)</f>
        <v>0</v>
      </c>
      <c r="AG38" s="28" t="s">
        <v>13</v>
      </c>
      <c r="AM38" s="32">
        <f>F38*AE38</f>
        <v>0</v>
      </c>
      <c r="AN38" s="32">
        <f>F38*AF38</f>
        <v>0</v>
      </c>
      <c r="AO38" s="33" t="s">
        <v>147</v>
      </c>
      <c r="AP38" s="33" t="s">
        <v>151</v>
      </c>
      <c r="AQ38" s="25" t="s">
        <v>153</v>
      </c>
      <c r="AS38" s="32">
        <f>AM38+AN38</f>
        <v>0</v>
      </c>
      <c r="AT38" s="32">
        <f>G38/(100-AU38)*100</f>
        <v>0</v>
      </c>
      <c r="AU38" s="32">
        <v>0</v>
      </c>
      <c r="AV38" s="32">
        <f>L38</f>
        <v>0.0008399999999999999</v>
      </c>
    </row>
    <row r="39" spans="1:37" ht="12.75">
      <c r="A39" s="5"/>
      <c r="B39" s="12"/>
      <c r="C39" s="12" t="s">
        <v>61</v>
      </c>
      <c r="D39" s="12" t="s">
        <v>98</v>
      </c>
      <c r="E39" s="5" t="s">
        <v>6</v>
      </c>
      <c r="F39" s="5" t="s">
        <v>6</v>
      </c>
      <c r="G39" s="5" t="s">
        <v>6</v>
      </c>
      <c r="H39" s="35">
        <f>SUM(H40:H40)</f>
        <v>0</v>
      </c>
      <c r="I39" s="35">
        <f>SUM(I40:I40)</f>
        <v>0</v>
      </c>
      <c r="J39" s="35">
        <f>H39+I39</f>
        <v>0</v>
      </c>
      <c r="K39" s="25"/>
      <c r="L39" s="35">
        <f>SUM(L40:L40)</f>
        <v>0</v>
      </c>
      <c r="M39" s="25"/>
      <c r="Y39" s="25"/>
      <c r="AI39" s="35">
        <f>SUM(Z40:Z40)</f>
        <v>0</v>
      </c>
      <c r="AJ39" s="35">
        <f>SUM(AA40:AA40)</f>
        <v>0</v>
      </c>
      <c r="AK39" s="35">
        <f>SUM(AB40:AB40)</f>
        <v>0</v>
      </c>
    </row>
    <row r="40" spans="1:48" ht="12.75">
      <c r="A40" s="4" t="s">
        <v>29</v>
      </c>
      <c r="B40" s="4"/>
      <c r="C40" s="4" t="s">
        <v>62</v>
      </c>
      <c r="D40" s="4" t="s">
        <v>99</v>
      </c>
      <c r="E40" s="4" t="s">
        <v>114</v>
      </c>
      <c r="F40" s="17">
        <v>24</v>
      </c>
      <c r="G40" s="17">
        <v>0</v>
      </c>
      <c r="H40" s="17">
        <f>F40*AE40</f>
        <v>0</v>
      </c>
      <c r="I40" s="17">
        <f>J40-H40</f>
        <v>0</v>
      </c>
      <c r="J40" s="17">
        <f>F40*G40</f>
        <v>0</v>
      </c>
      <c r="K40" s="17">
        <v>0</v>
      </c>
      <c r="L40" s="17">
        <f>F40*K40</f>
        <v>0</v>
      </c>
      <c r="M40" s="28" t="s">
        <v>133</v>
      </c>
      <c r="P40" s="32">
        <f>IF(AG40="5",J40,0)</f>
        <v>0</v>
      </c>
      <c r="R40" s="32">
        <f>IF(AG40="1",H40,0)</f>
        <v>0</v>
      </c>
      <c r="S40" s="32">
        <f>IF(AG40="1",I40,0)</f>
        <v>0</v>
      </c>
      <c r="T40" s="32">
        <f>IF(AG40="7",H40,0)</f>
        <v>0</v>
      </c>
      <c r="U40" s="32">
        <f>IF(AG40="7",I40,0)</f>
        <v>0</v>
      </c>
      <c r="V40" s="32">
        <f>IF(AG40="2",H40,0)</f>
        <v>0</v>
      </c>
      <c r="W40" s="32">
        <f>IF(AG40="2",I40,0)</f>
        <v>0</v>
      </c>
      <c r="X40" s="32">
        <f>IF(AG40="0",J40,0)</f>
        <v>0</v>
      </c>
      <c r="Y40" s="25"/>
      <c r="Z40" s="17">
        <f>IF(AD40=0,J40,0)</f>
        <v>0</v>
      </c>
      <c r="AA40" s="17">
        <f>IF(AD40=15,J40,0)</f>
        <v>0</v>
      </c>
      <c r="AB40" s="17">
        <f>IF(AD40=21,J40,0)</f>
        <v>0</v>
      </c>
      <c r="AD40" s="32">
        <v>21</v>
      </c>
      <c r="AE40" s="32">
        <f>G40*0</f>
        <v>0</v>
      </c>
      <c r="AF40" s="32">
        <f>G40*(1-0)</f>
        <v>0</v>
      </c>
      <c r="AG40" s="28" t="s">
        <v>7</v>
      </c>
      <c r="AM40" s="32">
        <f>F40*AE40</f>
        <v>0</v>
      </c>
      <c r="AN40" s="32">
        <f>F40*AF40</f>
        <v>0</v>
      </c>
      <c r="AO40" s="33" t="s">
        <v>148</v>
      </c>
      <c r="AP40" s="33" t="s">
        <v>152</v>
      </c>
      <c r="AQ40" s="25" t="s">
        <v>153</v>
      </c>
      <c r="AS40" s="32">
        <f>AM40+AN40</f>
        <v>0</v>
      </c>
      <c r="AT40" s="32">
        <f>G40/(100-AU40)*100</f>
        <v>0</v>
      </c>
      <c r="AU40" s="32">
        <v>0</v>
      </c>
      <c r="AV40" s="32">
        <f>L40</f>
        <v>0</v>
      </c>
    </row>
    <row r="41" ht="38.25">
      <c r="D41" s="14" t="s">
        <v>100</v>
      </c>
    </row>
    <row r="42" spans="1:37" ht="12.75">
      <c r="A42" s="5"/>
      <c r="B42" s="12"/>
      <c r="C42" s="12" t="s">
        <v>63</v>
      </c>
      <c r="D42" s="12" t="s">
        <v>101</v>
      </c>
      <c r="E42" s="5" t="s">
        <v>6</v>
      </c>
      <c r="F42" s="5" t="s">
        <v>6</v>
      </c>
      <c r="G42" s="5" t="s">
        <v>6</v>
      </c>
      <c r="H42" s="35">
        <f>SUM(H43:H45)</f>
        <v>0</v>
      </c>
      <c r="I42" s="35">
        <f>SUM(I43:I45)</f>
        <v>0</v>
      </c>
      <c r="J42" s="35">
        <f>H42+I42</f>
        <v>0</v>
      </c>
      <c r="K42" s="25"/>
      <c r="L42" s="35">
        <f>SUM(L43:L45)</f>
        <v>0</v>
      </c>
      <c r="M42" s="25"/>
      <c r="Y42" s="25"/>
      <c r="AI42" s="35">
        <f>SUM(Z43:Z45)</f>
        <v>0</v>
      </c>
      <c r="AJ42" s="35">
        <f>SUM(AA43:AA45)</f>
        <v>0</v>
      </c>
      <c r="AK42" s="35">
        <f>SUM(AB43:AB45)</f>
        <v>0</v>
      </c>
    </row>
    <row r="43" spans="1:48" ht="12.75">
      <c r="A43" s="4" t="s">
        <v>30</v>
      </c>
      <c r="B43" s="4"/>
      <c r="C43" s="4" t="s">
        <v>64</v>
      </c>
      <c r="D43" s="4" t="s">
        <v>102</v>
      </c>
      <c r="E43" s="4" t="s">
        <v>111</v>
      </c>
      <c r="F43" s="17">
        <v>0.1304</v>
      </c>
      <c r="G43" s="17">
        <v>0</v>
      </c>
      <c r="H43" s="17">
        <f>F43*AE43</f>
        <v>0</v>
      </c>
      <c r="I43" s="17">
        <f>J43-H43</f>
        <v>0</v>
      </c>
      <c r="J43" s="17">
        <f>F43*G43</f>
        <v>0</v>
      </c>
      <c r="K43" s="17">
        <v>0</v>
      </c>
      <c r="L43" s="17">
        <f>F43*K43</f>
        <v>0</v>
      </c>
      <c r="M43" s="28" t="s">
        <v>133</v>
      </c>
      <c r="P43" s="32">
        <f>IF(AG43="5",J43,0)</f>
        <v>0</v>
      </c>
      <c r="R43" s="32">
        <f>IF(AG43="1",H43,0)</f>
        <v>0</v>
      </c>
      <c r="S43" s="32">
        <f>IF(AG43="1",I43,0)</f>
        <v>0</v>
      </c>
      <c r="T43" s="32">
        <f>IF(AG43="7",H43,0)</f>
        <v>0</v>
      </c>
      <c r="U43" s="32">
        <f>IF(AG43="7",I43,0)</f>
        <v>0</v>
      </c>
      <c r="V43" s="32">
        <f>IF(AG43="2",H43,0)</f>
        <v>0</v>
      </c>
      <c r="W43" s="32">
        <f>IF(AG43="2",I43,0)</f>
        <v>0</v>
      </c>
      <c r="X43" s="32">
        <f>IF(AG43="0",J43,0)</f>
        <v>0</v>
      </c>
      <c r="Y43" s="25"/>
      <c r="Z43" s="17">
        <f>IF(AD43=0,J43,0)</f>
        <v>0</v>
      </c>
      <c r="AA43" s="17">
        <f>IF(AD43=15,J43,0)</f>
        <v>0</v>
      </c>
      <c r="AB43" s="17">
        <f>IF(AD43=21,J43,0)</f>
        <v>0</v>
      </c>
      <c r="AD43" s="32">
        <v>21</v>
      </c>
      <c r="AE43" s="32">
        <f>G43*0</f>
        <v>0</v>
      </c>
      <c r="AF43" s="32">
        <f>G43*(1-0)</f>
        <v>0</v>
      </c>
      <c r="AG43" s="28" t="s">
        <v>11</v>
      </c>
      <c r="AM43" s="32">
        <f>F43*AE43</f>
        <v>0</v>
      </c>
      <c r="AN43" s="32">
        <f>F43*AF43</f>
        <v>0</v>
      </c>
      <c r="AO43" s="33" t="s">
        <v>149</v>
      </c>
      <c r="AP43" s="33" t="s">
        <v>152</v>
      </c>
      <c r="AQ43" s="25" t="s">
        <v>153</v>
      </c>
      <c r="AS43" s="32">
        <f>AM43+AN43</f>
        <v>0</v>
      </c>
      <c r="AT43" s="32">
        <f>G43/(100-AU43)*100</f>
        <v>0</v>
      </c>
      <c r="AU43" s="32">
        <v>0</v>
      </c>
      <c r="AV43" s="32">
        <f>L43</f>
        <v>0</v>
      </c>
    </row>
    <row r="44" spans="1:48" ht="12.75">
      <c r="A44" s="4" t="s">
        <v>31</v>
      </c>
      <c r="B44" s="4"/>
      <c r="C44" s="4" t="s">
        <v>65</v>
      </c>
      <c r="D44" s="4" t="s">
        <v>103</v>
      </c>
      <c r="E44" s="4" t="s">
        <v>111</v>
      </c>
      <c r="F44" s="17">
        <v>0.1304</v>
      </c>
      <c r="G44" s="17">
        <v>0</v>
      </c>
      <c r="H44" s="17">
        <f>F44*AE44</f>
        <v>0</v>
      </c>
      <c r="I44" s="17">
        <f>J44-H44</f>
        <v>0</v>
      </c>
      <c r="J44" s="17">
        <f>F44*G44</f>
        <v>0</v>
      </c>
      <c r="K44" s="17">
        <v>0</v>
      </c>
      <c r="L44" s="17">
        <f>F44*K44</f>
        <v>0</v>
      </c>
      <c r="M44" s="28" t="s">
        <v>133</v>
      </c>
      <c r="P44" s="32">
        <f>IF(AG44="5",J44,0)</f>
        <v>0</v>
      </c>
      <c r="R44" s="32">
        <f>IF(AG44="1",H44,0)</f>
        <v>0</v>
      </c>
      <c r="S44" s="32">
        <f>IF(AG44="1",I44,0)</f>
        <v>0</v>
      </c>
      <c r="T44" s="32">
        <f>IF(AG44="7",H44,0)</f>
        <v>0</v>
      </c>
      <c r="U44" s="32">
        <f>IF(AG44="7",I44,0)</f>
        <v>0</v>
      </c>
      <c r="V44" s="32">
        <f>IF(AG44="2",H44,0)</f>
        <v>0</v>
      </c>
      <c r="W44" s="32">
        <f>IF(AG44="2",I44,0)</f>
        <v>0</v>
      </c>
      <c r="X44" s="32">
        <f>IF(AG44="0",J44,0)</f>
        <v>0</v>
      </c>
      <c r="Y44" s="25"/>
      <c r="Z44" s="17">
        <f>IF(AD44=0,J44,0)</f>
        <v>0</v>
      </c>
      <c r="AA44" s="17">
        <f>IF(AD44=15,J44,0)</f>
        <v>0</v>
      </c>
      <c r="AB44" s="17">
        <f>IF(AD44=21,J44,0)</f>
        <v>0</v>
      </c>
      <c r="AD44" s="32">
        <v>21</v>
      </c>
      <c r="AE44" s="32">
        <f>G44*0</f>
        <v>0</v>
      </c>
      <c r="AF44" s="32">
        <f>G44*(1-0)</f>
        <v>0</v>
      </c>
      <c r="AG44" s="28" t="s">
        <v>11</v>
      </c>
      <c r="AM44" s="32">
        <f>F44*AE44</f>
        <v>0</v>
      </c>
      <c r="AN44" s="32">
        <f>F44*AF44</f>
        <v>0</v>
      </c>
      <c r="AO44" s="33" t="s">
        <v>149</v>
      </c>
      <c r="AP44" s="33" t="s">
        <v>152</v>
      </c>
      <c r="AQ44" s="25" t="s">
        <v>153</v>
      </c>
      <c r="AS44" s="32">
        <f>AM44+AN44</f>
        <v>0</v>
      </c>
      <c r="AT44" s="32">
        <f>G44/(100-AU44)*100</f>
        <v>0</v>
      </c>
      <c r="AU44" s="32">
        <v>0</v>
      </c>
      <c r="AV44" s="32">
        <f>L44</f>
        <v>0</v>
      </c>
    </row>
    <row r="45" spans="1:48" ht="12.75">
      <c r="A45" s="6" t="s">
        <v>32</v>
      </c>
      <c r="B45" s="6"/>
      <c r="C45" s="6" t="s">
        <v>66</v>
      </c>
      <c r="D45" s="6" t="s">
        <v>104</v>
      </c>
      <c r="E45" s="6" t="s">
        <v>111</v>
      </c>
      <c r="F45" s="18">
        <v>2.608</v>
      </c>
      <c r="G45" s="18">
        <v>0</v>
      </c>
      <c r="H45" s="18">
        <f>F45*AE45</f>
        <v>0</v>
      </c>
      <c r="I45" s="18">
        <f>J45-H45</f>
        <v>0</v>
      </c>
      <c r="J45" s="18">
        <f>F45*G45</f>
        <v>0</v>
      </c>
      <c r="K45" s="18">
        <v>0</v>
      </c>
      <c r="L45" s="18">
        <f>F45*K45</f>
        <v>0</v>
      </c>
      <c r="M45" s="29" t="s">
        <v>133</v>
      </c>
      <c r="P45" s="32">
        <f>IF(AG45="5",J45,0)</f>
        <v>0</v>
      </c>
      <c r="R45" s="32">
        <f>IF(AG45="1",H45,0)</f>
        <v>0</v>
      </c>
      <c r="S45" s="32">
        <f>IF(AG45="1",I45,0)</f>
        <v>0</v>
      </c>
      <c r="T45" s="32">
        <f>IF(AG45="7",H45,0)</f>
        <v>0</v>
      </c>
      <c r="U45" s="32">
        <f>IF(AG45="7",I45,0)</f>
        <v>0</v>
      </c>
      <c r="V45" s="32">
        <f>IF(AG45="2",H45,0)</f>
        <v>0</v>
      </c>
      <c r="W45" s="32">
        <f>IF(AG45="2",I45,0)</f>
        <v>0</v>
      </c>
      <c r="X45" s="32">
        <f>IF(AG45="0",J45,0)</f>
        <v>0</v>
      </c>
      <c r="Y45" s="25"/>
      <c r="Z45" s="17">
        <f>IF(AD45=0,J45,0)</f>
        <v>0</v>
      </c>
      <c r="AA45" s="17">
        <f>IF(AD45=15,J45,0)</f>
        <v>0</v>
      </c>
      <c r="AB45" s="17">
        <f>IF(AD45=21,J45,0)</f>
        <v>0</v>
      </c>
      <c r="AD45" s="32">
        <v>21</v>
      </c>
      <c r="AE45" s="32">
        <f>G45*0</f>
        <v>0</v>
      </c>
      <c r="AF45" s="32">
        <f>G45*(1-0)</f>
        <v>0</v>
      </c>
      <c r="AG45" s="28" t="s">
        <v>11</v>
      </c>
      <c r="AM45" s="32">
        <f>F45*AE45</f>
        <v>0</v>
      </c>
      <c r="AN45" s="32">
        <f>F45*AF45</f>
        <v>0</v>
      </c>
      <c r="AO45" s="33" t="s">
        <v>149</v>
      </c>
      <c r="AP45" s="33" t="s">
        <v>152</v>
      </c>
      <c r="AQ45" s="25" t="s">
        <v>153</v>
      </c>
      <c r="AS45" s="32">
        <f>AM45+AN45</f>
        <v>0</v>
      </c>
      <c r="AT45" s="32">
        <f>G45/(100-AU45)*100</f>
        <v>0</v>
      </c>
      <c r="AU45" s="32">
        <v>0</v>
      </c>
      <c r="AV45" s="32">
        <f>L45</f>
        <v>0</v>
      </c>
    </row>
    <row r="46" spans="1:13" ht="12.75">
      <c r="A46" s="7"/>
      <c r="B46" s="7"/>
      <c r="C46" s="7"/>
      <c r="D46" s="7"/>
      <c r="E46" s="7"/>
      <c r="F46" s="7"/>
      <c r="G46" s="7"/>
      <c r="H46" s="89" t="s">
        <v>121</v>
      </c>
      <c r="I46" s="90"/>
      <c r="J46" s="36">
        <f>J12+J20+J27+J37+J39+J42</f>
        <v>0</v>
      </c>
      <c r="K46" s="7"/>
      <c r="L46" s="7"/>
      <c r="M46" s="7"/>
    </row>
    <row r="47" ht="11.25" customHeight="1">
      <c r="A47" s="8" t="s">
        <v>33</v>
      </c>
    </row>
    <row r="48" spans="1:13" ht="12.75">
      <c r="A48" s="81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</sheetData>
  <sheetProtection/>
  <mergeCells count="29">
    <mergeCell ref="H10:J10"/>
    <mergeCell ref="K10:L10"/>
    <mergeCell ref="H46:I46"/>
    <mergeCell ref="A48:M48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62.4218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68" t="s">
        <v>161</v>
      </c>
      <c r="B1" s="69"/>
      <c r="C1" s="69"/>
      <c r="D1" s="69"/>
      <c r="E1" s="69"/>
      <c r="F1" s="69"/>
      <c r="G1" s="69"/>
      <c r="H1" s="69"/>
    </row>
    <row r="2" spans="1:9" ht="12.75">
      <c r="A2" s="70" t="s">
        <v>1</v>
      </c>
      <c r="B2" s="71"/>
      <c r="C2" s="74" t="str">
        <f>'Stavební rozpočet'!D2</f>
        <v>Stavební úpravy vnitřních prostor MŠ LADOVA 1676 v Litvínově</v>
      </c>
      <c r="D2" s="90"/>
      <c r="E2" s="77" t="s">
        <v>122</v>
      </c>
      <c r="F2" s="77" t="str">
        <f>'Stavební rozpočet'!J2</f>
        <v>Město Litvínov, Náměstí Míru 11, Litvínov</v>
      </c>
      <c r="G2" s="71"/>
      <c r="H2" s="78"/>
      <c r="I2" s="30"/>
    </row>
    <row r="3" spans="1:9" ht="12.75">
      <c r="A3" s="72"/>
      <c r="B3" s="73"/>
      <c r="C3" s="75"/>
      <c r="D3" s="75"/>
      <c r="E3" s="73"/>
      <c r="F3" s="73"/>
      <c r="G3" s="73"/>
      <c r="H3" s="79"/>
      <c r="I3" s="30"/>
    </row>
    <row r="4" spans="1:9" ht="12.75">
      <c r="A4" s="80" t="s">
        <v>2</v>
      </c>
      <c r="B4" s="73"/>
      <c r="C4" s="81" t="str">
        <f>'Stavební rozpočet'!D4</f>
        <v>VYTÁPĚNÍ</v>
      </c>
      <c r="D4" s="73"/>
      <c r="E4" s="81" t="s">
        <v>123</v>
      </c>
      <c r="F4" s="81" t="str">
        <f>'Stavební rozpočet'!J4</f>
        <v>Ing. Radek Fokt</v>
      </c>
      <c r="G4" s="73"/>
      <c r="H4" s="79"/>
      <c r="I4" s="30"/>
    </row>
    <row r="5" spans="1:9" ht="12.75">
      <c r="A5" s="72"/>
      <c r="B5" s="73"/>
      <c r="C5" s="73"/>
      <c r="D5" s="73"/>
      <c r="E5" s="73"/>
      <c r="F5" s="73"/>
      <c r="G5" s="73"/>
      <c r="H5" s="79"/>
      <c r="I5" s="30"/>
    </row>
    <row r="6" spans="1:9" ht="12.75">
      <c r="A6" s="80" t="s">
        <v>3</v>
      </c>
      <c r="B6" s="73"/>
      <c r="C6" s="81" t="str">
        <f>'Stavební rozpočet'!D6</f>
        <v>Litvínov</v>
      </c>
      <c r="D6" s="73"/>
      <c r="E6" s="81" t="s">
        <v>124</v>
      </c>
      <c r="F6" s="81" t="str">
        <f>'Stavební rozpočet'!J6</f>
        <v> </v>
      </c>
      <c r="G6" s="73"/>
      <c r="H6" s="79"/>
      <c r="I6" s="30"/>
    </row>
    <row r="7" spans="1:9" ht="12.75">
      <c r="A7" s="72"/>
      <c r="B7" s="73"/>
      <c r="C7" s="73"/>
      <c r="D7" s="73"/>
      <c r="E7" s="73"/>
      <c r="F7" s="73"/>
      <c r="G7" s="73"/>
      <c r="H7" s="79"/>
      <c r="I7" s="30"/>
    </row>
    <row r="8" spans="1:9" ht="12.75">
      <c r="A8" s="80" t="s">
        <v>125</v>
      </c>
      <c r="B8" s="73"/>
      <c r="C8" s="81" t="str">
        <f>'Stavební rozpočet'!J8</f>
        <v>Ing. Radek Fokt</v>
      </c>
      <c r="D8" s="73"/>
      <c r="E8" s="81" t="s">
        <v>108</v>
      </c>
      <c r="F8" s="81" t="str">
        <f>'Stavební rozpočet'!G8</f>
        <v>11.02.2018</v>
      </c>
      <c r="G8" s="73"/>
      <c r="H8" s="79"/>
      <c r="I8" s="30"/>
    </row>
    <row r="9" spans="1:9" ht="12.75">
      <c r="A9" s="83"/>
      <c r="B9" s="84"/>
      <c r="C9" s="84"/>
      <c r="D9" s="84"/>
      <c r="E9" s="84"/>
      <c r="F9" s="84"/>
      <c r="G9" s="84"/>
      <c r="H9" s="85"/>
      <c r="I9" s="30"/>
    </row>
    <row r="10" spans="1:9" ht="12.75">
      <c r="A10" s="39" t="s">
        <v>5</v>
      </c>
      <c r="B10" s="40" t="s">
        <v>34</v>
      </c>
      <c r="C10" s="40" t="s">
        <v>35</v>
      </c>
      <c r="D10" s="91" t="s">
        <v>70</v>
      </c>
      <c r="E10" s="92"/>
      <c r="F10" s="40" t="s">
        <v>109</v>
      </c>
      <c r="G10" s="47" t="s">
        <v>115</v>
      </c>
      <c r="H10" s="37" t="s">
        <v>166</v>
      </c>
      <c r="I10" s="31"/>
    </row>
    <row r="11" spans="1:8" ht="12.75">
      <c r="A11" s="46" t="s">
        <v>7</v>
      </c>
      <c r="B11" s="46"/>
      <c r="C11" s="46" t="s">
        <v>37</v>
      </c>
      <c r="D11" s="93" t="s">
        <v>73</v>
      </c>
      <c r="E11" s="94"/>
      <c r="F11" s="46" t="s">
        <v>110</v>
      </c>
      <c r="G11" s="48">
        <v>7</v>
      </c>
      <c r="H11" s="49" t="s">
        <v>133</v>
      </c>
    </row>
    <row r="12" spans="1:8" ht="12.75">
      <c r="A12" s="4" t="s">
        <v>8</v>
      </c>
      <c r="B12" s="4"/>
      <c r="C12" s="4" t="s">
        <v>38</v>
      </c>
      <c r="D12" s="95" t="s">
        <v>74</v>
      </c>
      <c r="E12" s="96"/>
      <c r="F12" s="4" t="s">
        <v>111</v>
      </c>
      <c r="G12" s="17">
        <v>0.0071</v>
      </c>
      <c r="H12" s="28" t="s">
        <v>133</v>
      </c>
    </row>
    <row r="13" spans="1:8" ht="12.75">
      <c r="A13" s="4" t="s">
        <v>9</v>
      </c>
      <c r="B13" s="4"/>
      <c r="C13" s="4" t="s">
        <v>39</v>
      </c>
      <c r="D13" s="95" t="s">
        <v>75</v>
      </c>
      <c r="E13" s="96"/>
      <c r="F13" s="4" t="s">
        <v>110</v>
      </c>
      <c r="G13" s="17">
        <v>8</v>
      </c>
      <c r="H13" s="28" t="s">
        <v>133</v>
      </c>
    </row>
    <row r="14" spans="1:8" ht="12.75">
      <c r="A14" s="4" t="s">
        <v>10</v>
      </c>
      <c r="B14" s="4"/>
      <c r="C14" s="4" t="s">
        <v>40</v>
      </c>
      <c r="D14" s="95" t="s">
        <v>76</v>
      </c>
      <c r="E14" s="96"/>
      <c r="F14" s="4" t="s">
        <v>110</v>
      </c>
      <c r="G14" s="17">
        <v>4</v>
      </c>
      <c r="H14" s="28" t="s">
        <v>133</v>
      </c>
    </row>
    <row r="15" spans="1:8" ht="12.75">
      <c r="A15" s="4" t="s">
        <v>11</v>
      </c>
      <c r="B15" s="4"/>
      <c r="C15" s="4" t="s">
        <v>41</v>
      </c>
      <c r="D15" s="95" t="s">
        <v>77</v>
      </c>
      <c r="E15" s="96"/>
      <c r="F15" s="4" t="s">
        <v>110</v>
      </c>
      <c r="G15" s="17">
        <v>12</v>
      </c>
      <c r="H15" s="28" t="s">
        <v>133</v>
      </c>
    </row>
    <row r="16" spans="1:7" ht="12.75">
      <c r="A16" s="4"/>
      <c r="B16" s="4"/>
      <c r="C16" s="4"/>
      <c r="D16" s="95" t="s">
        <v>162</v>
      </c>
      <c r="E16" s="96"/>
      <c r="F16" s="4"/>
      <c r="G16" s="17">
        <v>12</v>
      </c>
    </row>
    <row r="17" spans="1:8" ht="12.75">
      <c r="A17" s="4" t="s">
        <v>12</v>
      </c>
      <c r="B17" s="4"/>
      <c r="C17" s="4" t="s">
        <v>42</v>
      </c>
      <c r="D17" s="95" t="s">
        <v>78</v>
      </c>
      <c r="E17" s="96"/>
      <c r="F17" s="4" t="s">
        <v>112</v>
      </c>
      <c r="G17" s="17">
        <v>2</v>
      </c>
      <c r="H17" s="28" t="s">
        <v>133</v>
      </c>
    </row>
    <row r="18" spans="1:8" ht="12.75">
      <c r="A18" s="4" t="s">
        <v>13</v>
      </c>
      <c r="B18" s="4"/>
      <c r="C18" s="4" t="s">
        <v>43</v>
      </c>
      <c r="D18" s="95" t="s">
        <v>79</v>
      </c>
      <c r="E18" s="96"/>
      <c r="F18" s="4" t="s">
        <v>111</v>
      </c>
      <c r="G18" s="17">
        <v>0.08258</v>
      </c>
      <c r="H18" s="28" t="s">
        <v>133</v>
      </c>
    </row>
    <row r="19" spans="1:8" ht="12.75">
      <c r="A19" s="4" t="s">
        <v>14</v>
      </c>
      <c r="B19" s="4"/>
      <c r="C19" s="4" t="s">
        <v>45</v>
      </c>
      <c r="D19" s="95" t="s">
        <v>81</v>
      </c>
      <c r="E19" s="96"/>
      <c r="F19" s="4" t="s">
        <v>112</v>
      </c>
      <c r="G19" s="17">
        <v>2</v>
      </c>
      <c r="H19" s="28" t="s">
        <v>133</v>
      </c>
    </row>
    <row r="20" spans="4:7" ht="12.75">
      <c r="D20" s="14" t="s">
        <v>82</v>
      </c>
      <c r="G20" s="17">
        <v>0</v>
      </c>
    </row>
    <row r="21" spans="1:8" ht="12.75">
      <c r="A21" s="4" t="s">
        <v>15</v>
      </c>
      <c r="B21" s="4"/>
      <c r="C21" s="4" t="s">
        <v>46</v>
      </c>
      <c r="D21" s="95" t="s">
        <v>83</v>
      </c>
      <c r="E21" s="96"/>
      <c r="F21" s="4" t="s">
        <v>112</v>
      </c>
      <c r="G21" s="17">
        <v>2</v>
      </c>
      <c r="H21" s="28" t="s">
        <v>133</v>
      </c>
    </row>
    <row r="22" spans="1:8" ht="12.75">
      <c r="A22" s="4" t="s">
        <v>16</v>
      </c>
      <c r="B22" s="4"/>
      <c r="C22" s="4" t="s">
        <v>47</v>
      </c>
      <c r="D22" s="95" t="s">
        <v>84</v>
      </c>
      <c r="E22" s="96"/>
      <c r="F22" s="4" t="s">
        <v>112</v>
      </c>
      <c r="G22" s="17">
        <v>2</v>
      </c>
      <c r="H22" s="28" t="s">
        <v>134</v>
      </c>
    </row>
    <row r="23" spans="1:8" ht="12.75">
      <c r="A23" s="4" t="s">
        <v>17</v>
      </c>
      <c r="B23" s="4"/>
      <c r="C23" s="4" t="s">
        <v>48</v>
      </c>
      <c r="D23" s="95" t="s">
        <v>85</v>
      </c>
      <c r="E23" s="96"/>
      <c r="F23" s="4" t="s">
        <v>112</v>
      </c>
      <c r="G23" s="17">
        <v>1</v>
      </c>
      <c r="H23" s="28" t="s">
        <v>133</v>
      </c>
    </row>
    <row r="24" spans="1:8" ht="12.75">
      <c r="A24" s="4" t="s">
        <v>18</v>
      </c>
      <c r="B24" s="4"/>
      <c r="C24" s="4" t="s">
        <v>49</v>
      </c>
      <c r="D24" s="95" t="s">
        <v>86</v>
      </c>
      <c r="E24" s="96"/>
      <c r="F24" s="4" t="s">
        <v>111</v>
      </c>
      <c r="G24" s="17">
        <v>0.00118</v>
      </c>
      <c r="H24" s="28" t="s">
        <v>133</v>
      </c>
    </row>
    <row r="25" spans="1:8" ht="12.75">
      <c r="A25" s="4" t="s">
        <v>19</v>
      </c>
      <c r="B25" s="4"/>
      <c r="C25" s="4" t="s">
        <v>51</v>
      </c>
      <c r="D25" s="95" t="s">
        <v>88</v>
      </c>
      <c r="E25" s="96"/>
      <c r="F25" s="4" t="s">
        <v>113</v>
      </c>
      <c r="G25" s="17">
        <v>5.18</v>
      </c>
      <c r="H25" s="28" t="s">
        <v>133</v>
      </c>
    </row>
    <row r="26" spans="1:7" ht="12.75">
      <c r="A26" s="4"/>
      <c r="B26" s="4"/>
      <c r="C26" s="4"/>
      <c r="D26" s="95" t="s">
        <v>163</v>
      </c>
      <c r="E26" s="96"/>
      <c r="F26" s="4"/>
      <c r="G26" s="17">
        <v>5.18</v>
      </c>
    </row>
    <row r="27" spans="1:8" ht="12.75">
      <c r="A27" s="4" t="s">
        <v>20</v>
      </c>
      <c r="B27" s="4"/>
      <c r="C27" s="4" t="s">
        <v>52</v>
      </c>
      <c r="D27" s="95" t="s">
        <v>89</v>
      </c>
      <c r="E27" s="96"/>
      <c r="F27" s="4" t="s">
        <v>111</v>
      </c>
      <c r="G27" s="17">
        <v>0.1233</v>
      </c>
      <c r="H27" s="28" t="s">
        <v>133</v>
      </c>
    </row>
    <row r="28" spans="1:8" ht="12.75">
      <c r="A28" s="4" t="s">
        <v>21</v>
      </c>
      <c r="B28" s="4"/>
      <c r="C28" s="4" t="s">
        <v>53</v>
      </c>
      <c r="D28" s="95" t="s">
        <v>90</v>
      </c>
      <c r="E28" s="96"/>
      <c r="F28" s="4" t="s">
        <v>113</v>
      </c>
      <c r="G28" s="17">
        <v>5.18</v>
      </c>
      <c r="H28" s="28" t="s">
        <v>133</v>
      </c>
    </row>
    <row r="29" spans="1:8" ht="12.75">
      <c r="A29" s="4" t="s">
        <v>22</v>
      </c>
      <c r="B29" s="4"/>
      <c r="C29" s="4" t="s">
        <v>54</v>
      </c>
      <c r="D29" s="95" t="s">
        <v>91</v>
      </c>
      <c r="E29" s="96"/>
      <c r="F29" s="4" t="s">
        <v>112</v>
      </c>
      <c r="G29" s="17">
        <v>1</v>
      </c>
      <c r="H29" s="28" t="s">
        <v>133</v>
      </c>
    </row>
    <row r="30" spans="1:8" ht="12.75">
      <c r="A30" s="4" t="s">
        <v>23</v>
      </c>
      <c r="B30" s="4"/>
      <c r="C30" s="4" t="s">
        <v>55</v>
      </c>
      <c r="D30" s="95" t="s">
        <v>92</v>
      </c>
      <c r="E30" s="96"/>
      <c r="F30" s="4" t="s">
        <v>112</v>
      </c>
      <c r="G30" s="17">
        <v>1</v>
      </c>
      <c r="H30" s="28" t="s">
        <v>133</v>
      </c>
    </row>
    <row r="31" spans="1:8" ht="12.75">
      <c r="A31" s="4" t="s">
        <v>24</v>
      </c>
      <c r="B31" s="4"/>
      <c r="C31" s="4" t="s">
        <v>56</v>
      </c>
      <c r="D31" s="95" t="s">
        <v>93</v>
      </c>
      <c r="E31" s="96"/>
      <c r="F31" s="4" t="s">
        <v>112</v>
      </c>
      <c r="G31" s="17">
        <v>2</v>
      </c>
      <c r="H31" s="28" t="s">
        <v>133</v>
      </c>
    </row>
    <row r="32" spans="1:8" ht="12.75">
      <c r="A32" s="4" t="s">
        <v>25</v>
      </c>
      <c r="B32" s="4"/>
      <c r="C32" s="4" t="s">
        <v>57</v>
      </c>
      <c r="D32" s="95" t="s">
        <v>94</v>
      </c>
      <c r="E32" s="96"/>
      <c r="F32" s="4" t="s">
        <v>112</v>
      </c>
      <c r="G32" s="17">
        <v>2</v>
      </c>
      <c r="H32" s="28" t="s">
        <v>133</v>
      </c>
    </row>
    <row r="33" spans="1:8" ht="12.75">
      <c r="A33" s="4" t="s">
        <v>26</v>
      </c>
      <c r="B33" s="4"/>
      <c r="C33" s="4" t="s">
        <v>57</v>
      </c>
      <c r="D33" s="95" t="s">
        <v>94</v>
      </c>
      <c r="E33" s="96"/>
      <c r="F33" s="4" t="s">
        <v>112</v>
      </c>
      <c r="G33" s="17">
        <v>2</v>
      </c>
      <c r="H33" s="28" t="s">
        <v>133</v>
      </c>
    </row>
    <row r="34" spans="1:8" ht="12.75">
      <c r="A34" s="4" t="s">
        <v>27</v>
      </c>
      <c r="B34" s="4"/>
      <c r="C34" s="4" t="s">
        <v>58</v>
      </c>
      <c r="D34" s="95" t="s">
        <v>95</v>
      </c>
      <c r="E34" s="96"/>
      <c r="F34" s="4" t="s">
        <v>111</v>
      </c>
      <c r="G34" s="17">
        <v>0.10634</v>
      </c>
      <c r="H34" s="28" t="s">
        <v>133</v>
      </c>
    </row>
    <row r="35" spans="1:8" ht="12.75">
      <c r="A35" s="4" t="s">
        <v>28</v>
      </c>
      <c r="B35" s="4"/>
      <c r="C35" s="4" t="s">
        <v>60</v>
      </c>
      <c r="D35" s="95" t="s">
        <v>97</v>
      </c>
      <c r="E35" s="96"/>
      <c r="F35" s="4" t="s">
        <v>110</v>
      </c>
      <c r="G35" s="17">
        <v>12</v>
      </c>
      <c r="H35" s="28" t="s">
        <v>133</v>
      </c>
    </row>
    <row r="36" spans="1:7" ht="12.75">
      <c r="A36" s="4"/>
      <c r="B36" s="4"/>
      <c r="C36" s="4"/>
      <c r="D36" s="95" t="s">
        <v>162</v>
      </c>
      <c r="E36" s="96"/>
      <c r="F36" s="4"/>
      <c r="G36" s="17">
        <v>12</v>
      </c>
    </row>
    <row r="37" spans="1:8" ht="12.75">
      <c r="A37" s="4" t="s">
        <v>29</v>
      </c>
      <c r="B37" s="4"/>
      <c r="C37" s="4" t="s">
        <v>62</v>
      </c>
      <c r="D37" s="95" t="s">
        <v>99</v>
      </c>
      <c r="E37" s="96"/>
      <c r="F37" s="4" t="s">
        <v>114</v>
      </c>
      <c r="G37" s="17">
        <v>24</v>
      </c>
      <c r="H37" s="28" t="s">
        <v>133</v>
      </c>
    </row>
    <row r="38" spans="4:7" ht="38.25">
      <c r="D38" s="14" t="s">
        <v>100</v>
      </c>
      <c r="G38" s="17">
        <v>0</v>
      </c>
    </row>
    <row r="39" spans="1:8" ht="12.75">
      <c r="A39" s="4" t="s">
        <v>30</v>
      </c>
      <c r="B39" s="4"/>
      <c r="C39" s="4" t="s">
        <v>64</v>
      </c>
      <c r="D39" s="95" t="s">
        <v>102</v>
      </c>
      <c r="E39" s="96"/>
      <c r="F39" s="4" t="s">
        <v>111</v>
      </c>
      <c r="G39" s="17">
        <v>0.1304</v>
      </c>
      <c r="H39" s="28" t="s">
        <v>133</v>
      </c>
    </row>
    <row r="40" spans="1:7" ht="12.75">
      <c r="A40" s="4"/>
      <c r="B40" s="4"/>
      <c r="C40" s="4"/>
      <c r="D40" s="95" t="s">
        <v>164</v>
      </c>
      <c r="E40" s="96"/>
      <c r="F40" s="4"/>
      <c r="G40" s="17">
        <v>0.1304</v>
      </c>
    </row>
    <row r="41" spans="1:8" ht="12.75">
      <c r="A41" s="4" t="s">
        <v>31</v>
      </c>
      <c r="B41" s="4"/>
      <c r="C41" s="4" t="s">
        <v>65</v>
      </c>
      <c r="D41" s="95" t="s">
        <v>103</v>
      </c>
      <c r="E41" s="96"/>
      <c r="F41" s="4" t="s">
        <v>111</v>
      </c>
      <c r="G41" s="17">
        <v>0.1304</v>
      </c>
      <c r="H41" s="28" t="s">
        <v>133</v>
      </c>
    </row>
    <row r="42" spans="1:7" ht="12.75">
      <c r="A42" s="4"/>
      <c r="B42" s="4"/>
      <c r="C42" s="4"/>
      <c r="D42" s="95" t="s">
        <v>164</v>
      </c>
      <c r="E42" s="96"/>
      <c r="F42" s="4"/>
      <c r="G42" s="17">
        <v>0.1304</v>
      </c>
    </row>
    <row r="43" spans="1:8" ht="12.75">
      <c r="A43" s="4" t="s">
        <v>32</v>
      </c>
      <c r="B43" s="4"/>
      <c r="C43" s="4" t="s">
        <v>66</v>
      </c>
      <c r="D43" s="95" t="s">
        <v>104</v>
      </c>
      <c r="E43" s="96"/>
      <c r="F43" s="4" t="s">
        <v>111</v>
      </c>
      <c r="G43" s="17">
        <v>2.608</v>
      </c>
      <c r="H43" s="28" t="s">
        <v>133</v>
      </c>
    </row>
    <row r="44" spans="1:7" ht="12.75">
      <c r="A44" s="4"/>
      <c r="B44" s="4"/>
      <c r="C44" s="4"/>
      <c r="D44" s="95" t="s">
        <v>165</v>
      </c>
      <c r="E44" s="96"/>
      <c r="F44" s="4"/>
      <c r="G44" s="17">
        <v>2.608</v>
      </c>
    </row>
    <row r="46" ht="11.25" customHeight="1">
      <c r="A46" s="8" t="s">
        <v>33</v>
      </c>
    </row>
    <row r="47" spans="1:7" ht="12.75">
      <c r="A47" s="81"/>
      <c r="B47" s="73"/>
      <c r="C47" s="73"/>
      <c r="D47" s="73"/>
      <c r="E47" s="73"/>
      <c r="F47" s="73"/>
      <c r="G47" s="73"/>
    </row>
  </sheetData>
  <sheetProtection/>
  <mergeCells count="51">
    <mergeCell ref="D42:E42"/>
    <mergeCell ref="D43:E43"/>
    <mergeCell ref="D44:E44"/>
    <mergeCell ref="A47:G47"/>
    <mergeCell ref="D35:E35"/>
    <mergeCell ref="D36:E36"/>
    <mergeCell ref="D37:E37"/>
    <mergeCell ref="D39:E39"/>
    <mergeCell ref="D40:E40"/>
    <mergeCell ref="D41:E41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16:E16"/>
    <mergeCell ref="D17:E17"/>
    <mergeCell ref="D18:E18"/>
    <mergeCell ref="D19:E19"/>
    <mergeCell ref="D21:E21"/>
    <mergeCell ref="D22:E22"/>
    <mergeCell ref="D10:E10"/>
    <mergeCell ref="D11:E11"/>
    <mergeCell ref="D12:E12"/>
    <mergeCell ref="D13:E13"/>
    <mergeCell ref="D14:E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Fokt</cp:lastModifiedBy>
  <dcterms:modified xsi:type="dcterms:W3CDTF">2018-04-16T04:45:34Z</dcterms:modified>
  <cp:category/>
  <cp:version/>
  <cp:contentType/>
  <cp:contentStatus/>
</cp:coreProperties>
</file>