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Rekapitulace stavby" sheetId="1" r:id="rId1"/>
    <sheet name="0251-zti - D.1.4.b - Zdra..." sheetId="2" r:id="rId2"/>
    <sheet name="stavební - Stavební část" sheetId="3" r:id="rId3"/>
  </sheets>
  <definedNames>
    <definedName name="_xlnm.Print_Titles" localSheetId="1">'0251-zti - D.1.4.b - Zdra...'!$120:$120</definedName>
    <definedName name="_xlnm.Print_Titles" localSheetId="0">'Rekapitulace stavby'!$85:$85</definedName>
    <definedName name="_xlnm.Print_Titles" localSheetId="2">'stavební - Stavební část'!$130:$130</definedName>
    <definedName name="_xlnm.Print_Area" localSheetId="1">'0251-zti - D.1.4.b - Zdra...'!$C$4:$Q$70,'0251-zti - D.1.4.b - Zdra...'!$C$76:$Q$104,'0251-zti - D.1.4.b - Zdra...'!$C$110:$Q$181</definedName>
    <definedName name="_xlnm.Print_Area" localSheetId="0">'Rekapitulace stavby'!$C$4:$AP$70,'Rekapitulace stavby'!$C$76:$AP$106</definedName>
    <definedName name="_xlnm.Print_Area" localSheetId="2">'stavební - Stavební část'!$C$4:$Q$70,'stavební - Stavební část'!$C$76:$Q$114,'stavební - Stavební část'!$C$120:$Q$285</definedName>
  </definedNames>
  <calcPr fullCalcOnLoad="1"/>
</workbook>
</file>

<file path=xl/sharedStrings.xml><?xml version="1.0" encoding="utf-8"?>
<sst xmlns="http://schemas.openxmlformats.org/spreadsheetml/2006/main" count="2518" uniqueCount="546">
  <si>
    <t>2012</t>
  </si>
  <si>
    <t>List obsahuje:</t>
  </si>
  <si>
    <t>1.0</t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</si>
  <si>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</si>
  <si>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</si>
  <si>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</si>
  <si>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</si>
  <si>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</si>
  <si>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</si>
  <si>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</si>
  <si>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</si>
  <si>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Návod na vyplnění</t>
  </si>
  <si>
    <t>0,001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</si>
  <si>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Rozpočet
       - ceny u položek
       - množství, pokud má žluté podbarvení
       - a v případe potřeby poznámku (ta je v skrytém sloupci)</t>
  </si>
  <si>
    <t>Stavba:</t>
  </si>
  <si>
    <t>0251-15 - Podkrušnohorská nemocnice následné péče, ul.Podkrušnohorská 638, litvínov - stavební úpravy v 1.N.P.</t>
  </si>
  <si>
    <t>0,1</t>
  </si>
  <si>
    <t>1</t>
  </si>
  <si>
    <t>Místo:</t>
  </si>
  <si>
    <t xml:space="preserve"> </t>
  </si>
  <si>
    <t>Datum:</t>
  </si>
  <si>
    <t>13.11.2015</t>
  </si>
  <si>
    <t>10</t>
  </si>
  <si>
    <t>100</t>
  </si>
  <si>
    <t>Objednavatel:</t>
  </si>
  <si>
    <t>IČ:</t>
  </si>
  <si>
    <t>KPlL s.r.o., ul.Žižkova 151, Litvínov</t>
  </si>
  <si>
    <t>DIČ:</t>
  </si>
  <si>
    <t>Zhotovitel:</t>
  </si>
  <si>
    <t>Vyplň údaj</t>
  </si>
  <si>
    <t>Projektant:</t>
  </si>
  <si>
    <t>VPH s.r.o.</t>
  </si>
  <si>
    <t>True</t>
  </si>
  <si>
    <t>Zpracovatel: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</si>
  <si>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</si>
  <si>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</si>
  <si>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</si>
  <si>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</si>
  <si>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</si>
  <si>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</si>
  <si>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</si>
  <si>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</si>
  <si>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</si>
  <si>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</si>
  <si>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</si>
  <si>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</si>
  <si>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</si>
  <si>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</si>
  <si>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</si>
  <si>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</si>
  <si>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</si>
  <si>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</si>
  <si>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</si>
  <si>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</si>
  <si>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</si>
  <si>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</si>
  <si>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</si>
  <si>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</si>
  <si>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</si>
  <si>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</si>
  <si>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</si>
  <si>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</si>
  <si>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</si>
  <si>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</si>
  <si>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</si>
  <si>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</si>
  <si>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</si>
  <si>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</si>
  <si>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</si>
  <si>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</si>
  <si>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</si>
  <si>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</si>
  <si>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</si>
  <si>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</si>
  <si>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</si>
  <si>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</si>
  <si>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{4009B4F3-24B6-4D24-83C9-8FCA16ACDDA9}</t>
  </si>
  <si>
    <t>{00000000-0000-0000-0000-000000000000}</t>
  </si>
  <si>
    <t>0251-zti</t>
  </si>
  <si>
    <t>D.1.4.b - Zdravotní instalace</t>
  </si>
  <si>
    <t>{01C437A2-5E06-41B0-A54E-D877D22CBBB5}</t>
  </si>
  <si>
    <t>stavební</t>
  </si>
  <si>
    <t>Stavební část</t>
  </si>
  <si>
    <t>{7E43D7C2-FDED-41BC-809B-BD6542B77A8C}</t>
  </si>
  <si>
    <t>2) Ostatní náklady ze souhrnného listu</t>
  </si>
  <si>
    <t>Procent. zadání
[% nákladů rozpočtu]</t>
  </si>
  <si>
    <t>Zařazení nákladů</t>
  </si>
  <si>
    <t>Projektové práce</t>
  </si>
  <si>
    <t>stavební čast</t>
  </si>
  <si>
    <t>OSTATNENAKLADY</t>
  </si>
  <si>
    <t>Průzkumné práce</t>
  </si>
  <si>
    <t>Stroje, zařízení, inventář</t>
  </si>
  <si>
    <t>Umělecká díla</t>
  </si>
  <si>
    <t>Vedlejší náklady</t>
  </si>
  <si>
    <t>Ostatní náklady</t>
  </si>
  <si>
    <t>H. Rezerva</t>
  </si>
  <si>
    <t>I. Ostatní investice</t>
  </si>
  <si>
    <t>Nehmotný investiční majetek</t>
  </si>
  <si>
    <t>Provozní náklady</t>
  </si>
  <si>
    <t>Vyplň vlastní</t>
  </si>
  <si>
    <t>OSTATNENAKLADYVLASTNE</t>
  </si>
  <si>
    <t>Celkové náklady za stavbu 1) + 2)</t>
  </si>
  <si>
    <t>Zpět na list:</t>
  </si>
  <si>
    <t>2</t>
  </si>
  <si>
    <t>KRYCÍ LIST ROZPOČTU</t>
  </si>
  <si>
    <t>Objekt:</t>
  </si>
  <si>
    <t>0251-zti - D.1.4.b - Zdravotní instalace</t>
  </si>
  <si>
    <t>Vlasáková Alena</t>
  </si>
  <si>
    <t>Náklady z rozpočtu</t>
  </si>
  <si>
    <t>REKAPITULACE ROZPOČTU</t>
  </si>
  <si>
    <t>Kód - Popis</t>
  </si>
  <si>
    <t>Cena celkem [CZK]</t>
  </si>
  <si>
    <t>1) Náklady z rozpočtu</t>
  </si>
  <si>
    <t>-1</t>
  </si>
  <si>
    <t>PSV - Práce a dodávky PSV</t>
  </si>
  <si>
    <t xml:space="preserve">    721 - Zdravotechnika - vnitřní kanalizace</t>
  </si>
  <si>
    <t xml:space="preserve">    722 - Zdravotechnika - vnitřní vodovod</t>
  </si>
  <si>
    <t xml:space="preserve">    724 - Zdravotechnika - strojní vybavení</t>
  </si>
  <si>
    <t xml:space="preserve">    725 - Zdravotechnika - zařizovací předměty</t>
  </si>
  <si>
    <t>VP -   Vícepráce</t>
  </si>
  <si>
    <t>2) Ostatní náklady</t>
  </si>
  <si>
    <t>Zařízení staveniště</t>
  </si>
  <si>
    <t>VRN</t>
  </si>
  <si>
    <t>Mimostav. doprava</t>
  </si>
  <si>
    <t>Územní vlivy</t>
  </si>
  <si>
    <t>Provozní vlivy</t>
  </si>
  <si>
    <t>Ostatní</t>
  </si>
  <si>
    <t>Kompletační činnosť</t>
  </si>
  <si>
    <t>KOMPLETACNA</t>
  </si>
  <si>
    <t>ROZPOČET</t>
  </si>
  <si>
    <t>PČ</t>
  </si>
  <si>
    <t>Typ</t>
  </si>
  <si>
    <t>Popis</t>
  </si>
  <si>
    <t>MJ</t>
  </si>
  <si>
    <t>Množství</t>
  </si>
  <si>
    <t>J.cena [CZK]</t>
  </si>
  <si>
    <t>Cena celkem
[CZK]</t>
  </si>
  <si>
    <t>Poznámka</t>
  </si>
  <si>
    <t>J. Nh [h]</t>
  </si>
  <si>
    <t>Nh celkom [h]</t>
  </si>
  <si>
    <t>J. hmotnost
[t]</t>
  </si>
  <si>
    <t>Hmotnost
celkem [t]</t>
  </si>
  <si>
    <t>J. suť [t]</t>
  </si>
  <si>
    <t>Suť Celkem [t]</t>
  </si>
  <si>
    <t>ROZPOCET</t>
  </si>
  <si>
    <t>K</t>
  </si>
  <si>
    <t>721140802</t>
  </si>
  <si>
    <t>Demontáž potrubí litinové do DN 100</t>
  </si>
  <si>
    <t>m</t>
  </si>
  <si>
    <t>16</t>
  </si>
  <si>
    <t>721171803</t>
  </si>
  <si>
    <t>Demontáž potrubí z PVC do D 75</t>
  </si>
  <si>
    <t>3</t>
  </si>
  <si>
    <t>721171905</t>
  </si>
  <si>
    <t>Potrubí z PP vsazení odbočky do hrdla DN 110</t>
  </si>
  <si>
    <t>kus</t>
  </si>
  <si>
    <t>4</t>
  </si>
  <si>
    <t>721171915</t>
  </si>
  <si>
    <t>Potrubí z PP propojení potrubí DN 110</t>
  </si>
  <si>
    <t>5</t>
  </si>
  <si>
    <t>721174004</t>
  </si>
  <si>
    <t>Potrubí kanalizační z PP svodné systém HT DN 70</t>
  </si>
  <si>
    <t>6</t>
  </si>
  <si>
    <t>721174005</t>
  </si>
  <si>
    <t>Potrubí kanalizační z PP svodné systém HT DN 100</t>
  </si>
  <si>
    <t>7</t>
  </si>
  <si>
    <t>721174043</t>
  </si>
  <si>
    <t>Potrubí kanalizační z PP připojovací systém HT DN 50</t>
  </si>
  <si>
    <t>8</t>
  </si>
  <si>
    <t>721194105</t>
  </si>
  <si>
    <t>Vyvedení a upevnění odpadních výpustek DN 50</t>
  </si>
  <si>
    <t>9</t>
  </si>
  <si>
    <t>721194107</t>
  </si>
  <si>
    <t>Vyvedení a upevnění odpadních výpustek DN 70</t>
  </si>
  <si>
    <t>721194109</t>
  </si>
  <si>
    <t>Vyvedení a upevnění odpadních výpustek DN 100</t>
  </si>
  <si>
    <t>11</t>
  </si>
  <si>
    <t>721211421</t>
  </si>
  <si>
    <t>Vpusť podlahová se svislým odtokem DN 50/75/110 mřížka nerez 115x115</t>
  </si>
  <si>
    <t>12</t>
  </si>
  <si>
    <t>721290111</t>
  </si>
  <si>
    <t>Zkouška těsnosti potrubí kanalizace vodou do DN 125</t>
  </si>
  <si>
    <t>13</t>
  </si>
  <si>
    <t>721290821</t>
  </si>
  <si>
    <t>Přemístění vnitrostaveništní demontovaných hmot vnitřní kanalizace v objektech výšky do 6 m</t>
  </si>
  <si>
    <t>t</t>
  </si>
  <si>
    <t>14</t>
  </si>
  <si>
    <t>721300912</t>
  </si>
  <si>
    <t>Pročištění odpadů svislých v jednom podlaží do DN 200</t>
  </si>
  <si>
    <t>721300932</t>
  </si>
  <si>
    <t>Pročištění potrubí šikmé do DN 100</t>
  </si>
  <si>
    <t>998721101</t>
  </si>
  <si>
    <t>Přesun hmot tonážní pro vnitřní kanalizace v objektech v do 6 m</t>
  </si>
  <si>
    <t>17</t>
  </si>
  <si>
    <t>722171914</t>
  </si>
  <si>
    <t>Potrubí plastové odříznutí trubky D do 32 mm</t>
  </si>
  <si>
    <t>18</t>
  </si>
  <si>
    <t>722171915</t>
  </si>
  <si>
    <t>Potrubí plastové odříznutí trubky D do 40 mm</t>
  </si>
  <si>
    <t>19</t>
  </si>
  <si>
    <t>722171934</t>
  </si>
  <si>
    <t>Potrubí plastové výměna trub nebo tvarovek D do 32 mm</t>
  </si>
  <si>
    <t>20</t>
  </si>
  <si>
    <t>722171935</t>
  </si>
  <si>
    <t>Potrubí plastové výměna trub nebo tvarovek D do 40 mm</t>
  </si>
  <si>
    <t>722173911</t>
  </si>
  <si>
    <t>Potrubí plastové spoje svar polyfuze D do 16 mm</t>
  </si>
  <si>
    <t>22</t>
  </si>
  <si>
    <t>722173914</t>
  </si>
  <si>
    <t>Potrubí plastové spoje svar polyfuze D do 32 mm</t>
  </si>
  <si>
    <t>23</t>
  </si>
  <si>
    <t>722173915</t>
  </si>
  <si>
    <t>Potrubí plastové spoje svar polyfuze D do 40 mm</t>
  </si>
  <si>
    <t>24</t>
  </si>
  <si>
    <t>722174002</t>
  </si>
  <si>
    <t>Potrubí vodovodní plastové PPR svar polyfuze PN 16 D 20 x 2,8 mm</t>
  </si>
  <si>
    <t>25</t>
  </si>
  <si>
    <t>722174003</t>
  </si>
  <si>
    <t>Potrubí vodovodní plastové PPR svar polyfuze PN 16 D 25 x 3,5 mm</t>
  </si>
  <si>
    <t>26</t>
  </si>
  <si>
    <t>722181111</t>
  </si>
  <si>
    <t>Ochrana vodovodního potrubí plstěnými pásy do DN 20 mm</t>
  </si>
  <si>
    <t>27</t>
  </si>
  <si>
    <t>722181113</t>
  </si>
  <si>
    <t>Ochrana vodovodního potrubí plstěnými pásy do DN 25 mm</t>
  </si>
  <si>
    <t>28</t>
  </si>
  <si>
    <t>722190401</t>
  </si>
  <si>
    <t>Vyvedení a upevnění výpustku do DN 25</t>
  </si>
  <si>
    <t>29</t>
  </si>
  <si>
    <t>722190901</t>
  </si>
  <si>
    <t>Uzavření nebo otevření vodovodního potrubí při opravách</t>
  </si>
  <si>
    <t>30</t>
  </si>
  <si>
    <t>722220121</t>
  </si>
  <si>
    <t>Nástěnka pro baterii G 1/2 s jedním závitem</t>
  </si>
  <si>
    <t>pár</t>
  </si>
  <si>
    <t>31</t>
  </si>
  <si>
    <t>722290226</t>
  </si>
  <si>
    <t>Zkouška těsnosti vodovodního potrubí závitového do DN 50</t>
  </si>
  <si>
    <t>32</t>
  </si>
  <si>
    <t>722290234</t>
  </si>
  <si>
    <t>Proplach a dezinfekce vodovodního potrubí do DN 80</t>
  </si>
  <si>
    <t>33</t>
  </si>
  <si>
    <t>998722101</t>
  </si>
  <si>
    <t>Přesun hmot tonážní tonážní pro vnitřní vodovod v objektech v do 6 m</t>
  </si>
  <si>
    <t>34</t>
  </si>
  <si>
    <t>725110811</t>
  </si>
  <si>
    <t>Demontáž klozetů splachovací s nádrží</t>
  </si>
  <si>
    <t>soubor</t>
  </si>
  <si>
    <t>35</t>
  </si>
  <si>
    <t>725112001</t>
  </si>
  <si>
    <t>Klozet keramický standardní samostatně stojící s hlubokým splachováním odpad vodorovný</t>
  </si>
  <si>
    <t>36</t>
  </si>
  <si>
    <t>725112002</t>
  </si>
  <si>
    <t>Klozet keramický standardní samostatně stojící s hlubokým splachováním odpad svislý</t>
  </si>
  <si>
    <t>37</t>
  </si>
  <si>
    <t>725122813</t>
  </si>
  <si>
    <t>Demontáž pisoárových stání s nádrží a jedním záchodkem</t>
  </si>
  <si>
    <t>38</t>
  </si>
  <si>
    <t>725210821</t>
  </si>
  <si>
    <t>Demontáž umyvadel bez výtokových armatur</t>
  </si>
  <si>
    <t>39</t>
  </si>
  <si>
    <t>725211602</t>
  </si>
  <si>
    <t>Umyvadlo keramické připevněné na stěnu šrouby bílé bez krytu na sifon 550 mm</t>
  </si>
  <si>
    <t>40</t>
  </si>
  <si>
    <t>725240812</t>
  </si>
  <si>
    <t>Demontáž vaniček sprchových bez výtokových armatur</t>
  </si>
  <si>
    <t>41</t>
  </si>
  <si>
    <t>725241126</t>
  </si>
  <si>
    <t>Vanička sprchová akrylátová obdélníková 1200x750 mm</t>
  </si>
  <si>
    <t>42</t>
  </si>
  <si>
    <t>725320821</t>
  </si>
  <si>
    <t>Demontáž dřez dvojitý na ocelové konzole bez výtokových armatur</t>
  </si>
  <si>
    <t>43</t>
  </si>
  <si>
    <t>725590811</t>
  </si>
  <si>
    <t>Přemístění vnitrostaveništní demontovaných pro zařizovací předměty v objektech výšky do 6 m</t>
  </si>
  <si>
    <t>44</t>
  </si>
  <si>
    <t>725813111</t>
  </si>
  <si>
    <t>Ventil rohový bez připojovací trubičky nebo flexi hadičky G 1/2</t>
  </si>
  <si>
    <t>45</t>
  </si>
  <si>
    <t>725820801</t>
  </si>
  <si>
    <t>Demontáž baterie nástěnné do G 3 / 4</t>
  </si>
  <si>
    <t>46</t>
  </si>
  <si>
    <t>725822611</t>
  </si>
  <si>
    <t>Baterie umyvadlové stojánkové pákové bez výpusti</t>
  </si>
  <si>
    <t>47</t>
  </si>
  <si>
    <t>725840850</t>
  </si>
  <si>
    <t>Demontáž baterie sprch T 954 diferenciální do G 3/4x1</t>
  </si>
  <si>
    <t>48</t>
  </si>
  <si>
    <t>725841311</t>
  </si>
  <si>
    <t>Baterie sprchové nástěnné pákové</t>
  </si>
  <si>
    <t>49</t>
  </si>
  <si>
    <t>998725101</t>
  </si>
  <si>
    <t>Přesun hmot tonážní pro zařizovací předměty v objektech v do 6 m</t>
  </si>
  <si>
    <t>VP - Vícepráce</t>
  </si>
  <si>
    <t>PN</t>
  </si>
  <si>
    <t>stavební - Stavební část</t>
  </si>
  <si>
    <t>ing.Žílová</t>
  </si>
  <si>
    <t>HSV - Práce a dodávky HSV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</si>
  <si>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</si>
  <si>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</si>
  <si>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</si>
  <si>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9 - Ostatní konstrukce a práce-bourání</t>
  </si>
  <si>
    <t xml:space="preserve">      99 - Přesun hmot</t>
  </si>
  <si>
    <t xml:space="preserve">    763 - Konstrukce suché výstavby</t>
  </si>
  <si>
    <t xml:space="preserve">    764 - Konstrukce klempířské</t>
  </si>
  <si>
    <t xml:space="preserve">    766 - Konstrukce truhlářské</t>
  </si>
  <si>
    <t xml:space="preserve">    771 - Podlahy z dlaždic</t>
  </si>
  <si>
    <t xml:space="preserve">    776 - Podlahy povlakové</t>
  </si>
  <si>
    <t xml:space="preserve">    781 - Dokončovací práce - obklady keramické</t>
  </si>
  <si>
    <t xml:space="preserve">    783 - Dokončovací práce - nátěry</t>
  </si>
  <si>
    <t xml:space="preserve">    784 - Dokončovací práce - malby a tapety</t>
  </si>
  <si>
    <t>310238211</t>
  </si>
  <si>
    <t>Zazdívka otvorů pl do 1 m2 ve zdivu nadzákladovém cihlami pálenými na MVC</t>
  </si>
  <si>
    <t>m3</t>
  </si>
  <si>
    <t>0,4*0,25*2,4+0,45*(0,35*2+0,25*2)</t>
  </si>
  <si>
    <t>VV</t>
  </si>
  <si>
    <t>310239211</t>
  </si>
  <si>
    <t>Zazdívka otvorů pl do 4 m2 ve zdivu nadzákladovém cihlami pálenými na MVC</t>
  </si>
  <si>
    <t>0,45*(0,8*2+0,8*2+0,75*2+0,75*2)</t>
  </si>
  <si>
    <t>31714221R</t>
  </si>
  <si>
    <t>Překlady nenosné přímé z pórobetonu příčky tl 100 mm pro světlost otvoru do 1010 mm NEP 10-1250-199x100</t>
  </si>
  <si>
    <t>31714222R</t>
  </si>
  <si>
    <t>Překlady nenosné přímé z pórobetonu příčky tl 100 mm pro světlost otvoru do 1200 mm NEP 10-1500-199x100</t>
  </si>
  <si>
    <t>317944323</t>
  </si>
  <si>
    <t>Válcované nosníky č.14 až 22 dodatečně osazované do připravených otvorů</t>
  </si>
  <si>
    <t>1,3*4*0,0144+1,4*4*0,0144+1,6*48*0,0144</t>
  </si>
  <si>
    <t>342272323</t>
  </si>
  <si>
    <t>Příčky tl 100 mm z pórobetonových přesných hladkých příčkovek objemové hmotnosti 500 kg/m3</t>
  </si>
  <si>
    <t>m2</t>
  </si>
  <si>
    <t>4,2*2,95*3+1,1*2+4,2*2,95*2+2,45*2,95+0,8*2*4+1,5*3,1-1,1*1,97</t>
  </si>
  <si>
    <t>413232211</t>
  </si>
  <si>
    <t>Zazdívka zhlaví válcovaných nosníků v do 150 mm</t>
  </si>
  <si>
    <t>2+2+24</t>
  </si>
  <si>
    <t>612321141</t>
  </si>
  <si>
    <t>Vápenocementová omítka štuková dvouvrstvá vnitřních stěn nanášená ručně</t>
  </si>
  <si>
    <t>0,35*2,4*2+0,8*2*4+0,75*2*4+0,35*2*2+0,25*2*2</t>
  </si>
  <si>
    <t>612322141</t>
  </si>
  <si>
    <t>Vápenocementová lehčená omítka štuková dvouvrstvá vnitřních stěn nanášená ručně</t>
  </si>
  <si>
    <t>4,2*2,95*6+1,1*2,95*2+2,45*2*2,95+2,95*4,2*4+2*0,8*8+1,5*3,1*2-1,1*1,97*2</t>
  </si>
  <si>
    <t>612325422</t>
  </si>
  <si>
    <t>Oprava vnitřní vápenocementové štukové omítky stěn v rozsahu plochy do 30%</t>
  </si>
  <si>
    <t>4,2*2,95*32+2,45*2*2,95+2,95*25,35*2+2,95*(2,8*4+4,2*4+3,5*4+3,55*4+3,5*6)</t>
  </si>
  <si>
    <t>2,95*(4,05*2+3,2*2+1,65*2+2,45*2+4,2*3+3,75*2)</t>
  </si>
  <si>
    <t>-106,335-29,68-0,9*0,9*3-2,1*1,5*11-3,1*2,4-0,8*1,9*2-0,9*1,97*6-1,1*1,97*14*2-1,4*2*2</t>
  </si>
  <si>
    <t>-157,645</t>
  </si>
  <si>
    <t>Součet</t>
  </si>
  <si>
    <t>95394121R</t>
  </si>
  <si>
    <t xml:space="preserve">Osazování konzol do zdi a montáž dřevěného madla </t>
  </si>
  <si>
    <t>M</t>
  </si>
  <si>
    <t>42392879R</t>
  </si>
  <si>
    <t>madlo dřevěné,vč. úchytů</t>
  </si>
  <si>
    <t>1,4+3,4+0,8+3,8+1,5+2,4+1,5+1,4+2,4+1,5+3+1,7+1,7+3,4+1,4+2,5</t>
  </si>
  <si>
    <t>95394129R</t>
  </si>
  <si>
    <t>Osazovaní kovových mříží v rámu nebo z jednotlivých tyčí bez jejich dodání</t>
  </si>
  <si>
    <t>59021129R</t>
  </si>
  <si>
    <t>mříže okenní 210x150 cm, vč. povrchové úpravy</t>
  </si>
  <si>
    <t>962031132</t>
  </si>
  <si>
    <t>Bourání příček z cihel pálených na MVC tl do 100 mm</t>
  </si>
  <si>
    <t>4,2*2,95*5+2,95*(1,5*2+3,7+1,15*4+2,1+0,9+1,25*2+2+2,95)+3,1*1,5</t>
  </si>
  <si>
    <t>964011231</t>
  </si>
  <si>
    <t>Vybourání ŽB překladů prefabrikovaných dl do 3 m hmotnosti do 150 kg/m</t>
  </si>
  <si>
    <t>3*0,25*0,15*1,5*7+3*0,25*0,15*1,6*2+3*0,25*0,15*1,2*3</t>
  </si>
  <si>
    <t>968062374</t>
  </si>
  <si>
    <t>Vybourání dřevěných rámů oken zdvojených včetně křídel pl do 1 m2</t>
  </si>
  <si>
    <t>0,9*0,9*3</t>
  </si>
  <si>
    <t>968062375</t>
  </si>
  <si>
    <t>Vybourání dřevěných rámů oken zdvojených včetně křídel pl do 2 m2</t>
  </si>
  <si>
    <t>1,3*1,45</t>
  </si>
  <si>
    <t>968062376</t>
  </si>
  <si>
    <t>Vybourání dřevěných rámů oken zdvojených včetně křídel pl do 4 m2</t>
  </si>
  <si>
    <t>2,1*1,5*11</t>
  </si>
  <si>
    <t>968072455</t>
  </si>
  <si>
    <t>Vybourání kovových dveřních zárubní pl do 2 m2</t>
  </si>
  <si>
    <t>0,8*1,97*12+0,9*1,97*2+0,6*1,97*12+1,1*1,97*2</t>
  </si>
  <si>
    <t>96807287R</t>
  </si>
  <si>
    <t>Vybourání okenních mříží</t>
  </si>
  <si>
    <t>(6+5)*2,1*2,4+3*0,9*0,9</t>
  </si>
  <si>
    <t>968082018</t>
  </si>
  <si>
    <t>Vybourání plastových rámů oken dvojitých včetně křídel plochy přes 4 m2</t>
  </si>
  <si>
    <t>2,1*2,4</t>
  </si>
  <si>
    <t>971033651</t>
  </si>
  <si>
    <t>Vybourání otvorů ve zdivu cihelném pl do 4 m2 na MVC nebo MV tl do 600 mm</t>
  </si>
  <si>
    <t>0,45*2,05*(0,35*2+0,25+1,05+1,25+1,1+1,25+0,6+0,7+0,7+0,6+1,25+0,35+0,35+0,95)+1,3*0,95*0,4</t>
  </si>
  <si>
    <t>974031164</t>
  </si>
  <si>
    <t>Vysekání rýh ve zdivu cihelném hl do 150 mm š do 150 mm</t>
  </si>
  <si>
    <t>1,3*2+1,6*8</t>
  </si>
  <si>
    <t>974031169</t>
  </si>
  <si>
    <t>Příplatek k vysekání rýh ve zdivu cihelném hl do 150 mm ZKD 100 mm š rýhy</t>
  </si>
  <si>
    <t>(1,3+1,6*4)*2</t>
  </si>
  <si>
    <t>997013501</t>
  </si>
  <si>
    <t>Odvoz suti na skládku a vybouraných hmot nebo meziskládku do 1 km se složením</t>
  </si>
  <si>
    <t>997013509</t>
  </si>
  <si>
    <t>Příplatek k odvozu suti a vybouraných hmot na skládku ZKD 1 km přes 1 km</t>
  </si>
  <si>
    <t>55,715*9</t>
  </si>
  <si>
    <t>997013831</t>
  </si>
  <si>
    <t>Poplatek za uložení stavebního směsného odpadu na skládce (skládkovné)</t>
  </si>
  <si>
    <t>763135101</t>
  </si>
  <si>
    <t>Montáž SDK kazetového podhledu z kazet 600x600 mm na zavěšenou viditelnou nosnou konstrukci</t>
  </si>
  <si>
    <t>38,03+5,63</t>
  </si>
  <si>
    <t>590305700</t>
  </si>
  <si>
    <t>podhled kazetový GYPTONE Base A 600 x 600 mm</t>
  </si>
  <si>
    <t>998763303</t>
  </si>
  <si>
    <t>Přesun hmot tonážní pro sádrokartonové konstrukce v objektech v do 24 m</t>
  </si>
  <si>
    <t>764410850</t>
  </si>
  <si>
    <t>Demontáž oplechování parapetu rš do 330 mm</t>
  </si>
  <si>
    <t>2,1*11+0,9*3</t>
  </si>
  <si>
    <t>764711115</t>
  </si>
  <si>
    <t>Oplechování parapetu Lindab rš 330 mm</t>
  </si>
  <si>
    <t>998764103</t>
  </si>
  <si>
    <t>Přesun hmot tonážní pro konstrukce klempířské v objektech v do 24 m</t>
  </si>
  <si>
    <t>766621211</t>
  </si>
  <si>
    <t>Montáž oken zdvojených otevíravých výšky do 1,5m s rámem do zdiva</t>
  </si>
  <si>
    <t>3*0,9*0,9+1,5*2,1*11</t>
  </si>
  <si>
    <t>61143014R</t>
  </si>
  <si>
    <t>okno plastové jednodílné otevíravé a sklopné barva bílá, vč.kování  90x90 cm</t>
  </si>
  <si>
    <t>61143155R</t>
  </si>
  <si>
    <t>okno plastové otevíravé a  sklopné třídílné, barva bílá  210 x 150 cm, vč.kování</t>
  </si>
  <si>
    <t>76666009R</t>
  </si>
  <si>
    <t>Montáž a dodávka dveřních křídel otvíravých 1křídlových š přes 0,8 m do ocelové zárubně vč.zárubní,madel,samozavíračů,kování</t>
  </si>
  <si>
    <t>Počet a typ viz tabulka - 1.N.P.-výpis dveří ve výkresu č.D1.1.b2</t>
  </si>
  <si>
    <t>P</t>
  </si>
  <si>
    <t>766691914</t>
  </si>
  <si>
    <t>Vyvěšení nebo zavěšení dřevěných křídel dveří pl do 2 m2</t>
  </si>
  <si>
    <t>766691915</t>
  </si>
  <si>
    <t>Vyvěšení nebo zavěšení dřevěných křídel dveří pl přes 2 m2</t>
  </si>
  <si>
    <t>766694111</t>
  </si>
  <si>
    <t>Montáž parapetních desek dřevěných, laminovaných šířky do 30 cm délky do 1,0 m</t>
  </si>
  <si>
    <t>766694113</t>
  </si>
  <si>
    <t>Montáž parapetních desek dřevěných, laminovaných šířky do 30 cm délky do 2,6 m</t>
  </si>
  <si>
    <t>611444020</t>
  </si>
  <si>
    <t>parapet plastový vnitřní - Deceuninck komůrkový 30,5 x 2 x 100 cm</t>
  </si>
  <si>
    <t>11*2,1+3*0,9</t>
  </si>
  <si>
    <t>611444150</t>
  </si>
  <si>
    <t>koncovka k parapetu plastovému vnitřnímu 1 pár</t>
  </si>
  <si>
    <t>11+3</t>
  </si>
  <si>
    <t>998766103</t>
  </si>
  <si>
    <t>Přesun hmot tonážní pro konstrukce truhlářské v objektech v do 24 m</t>
  </si>
  <si>
    <t>771571810</t>
  </si>
  <si>
    <t>Demontáž podlah z dlaždic keramických kladených do malty</t>
  </si>
  <si>
    <t>2,95+6,65+1,04+1,04+1,72+1,04*2+3,95+2,99+1,73+2,25+2,17+1,58+3,04+1,34</t>
  </si>
  <si>
    <t>771574131</t>
  </si>
  <si>
    <t>Montáž podlah keramických režných protiskluzných lepených flexibilním lepidlem do 50 ks/m2</t>
  </si>
  <si>
    <t>13,44+6,21+5,99+4,04</t>
  </si>
  <si>
    <t>59761119R</t>
  </si>
  <si>
    <t>dlaždice keramické SIKO - koupelny KRÉTA  protiskluzná (barevné) 29,8 x 29,8 x 0,8 cm II. j.</t>
  </si>
  <si>
    <t>771579196</t>
  </si>
  <si>
    <t>Příplatek k montáž podlah keramických za spárování tmelem dvousložkovým</t>
  </si>
  <si>
    <t>29,68</t>
  </si>
  <si>
    <t>50</t>
  </si>
  <si>
    <t>771591111</t>
  </si>
  <si>
    <t>Podlahy penetrace podkladu</t>
  </si>
  <si>
    <t>29,68*2</t>
  </si>
  <si>
    <t>51</t>
  </si>
  <si>
    <t>771591171</t>
  </si>
  <si>
    <t>Montáž profilu ukončujícího pro plynulý přechod (dlažby s kobercem apod.)</t>
  </si>
  <si>
    <t>1,25+13*1,1+0,8</t>
  </si>
  <si>
    <t>52</t>
  </si>
  <si>
    <t>553432220</t>
  </si>
  <si>
    <t>lišta přechodová 459H 30 mm, vrtaná, 22472 elox stříbrná</t>
  </si>
  <si>
    <t>53</t>
  </si>
  <si>
    <t>771990112</t>
  </si>
  <si>
    <t>Vyrovnání podkladu samonivelační stěrkou tl 4 mm pevnosti 30 Mpa</t>
  </si>
  <si>
    <t>54</t>
  </si>
  <si>
    <t>998771103</t>
  </si>
  <si>
    <t>Přesun hmot tonážní pro podlahy z dlaždic v objektech v do 24 m</t>
  </si>
  <si>
    <t>55</t>
  </si>
  <si>
    <t>776421100</t>
  </si>
  <si>
    <t>Lepení obvodových soklíků nebo lišt z měkčených plastů</t>
  </si>
  <si>
    <t>4,2*16+2,8*4+4,2*2+3,5*4+3,55*2+25,35*2+3,75*2+4,2*10+4,05*2+3,5*6+3,55*2</t>
  </si>
  <si>
    <t>56</t>
  </si>
  <si>
    <t>284110040</t>
  </si>
  <si>
    <t>lišta speciální soklová PVC 17271, 30 x 30 mm role 50 m</t>
  </si>
  <si>
    <t>57</t>
  </si>
  <si>
    <t>776511820</t>
  </si>
  <si>
    <t>Demontáž povlakových podlah lepených s podložkou</t>
  </si>
  <si>
    <t>14,7+10,79+7,25+14,7*6+14,91+39,45+14,91+14,7*3</t>
  </si>
  <si>
    <t>58</t>
  </si>
  <si>
    <t>776521100</t>
  </si>
  <si>
    <t>Lepení pásů povlakových podlah plastových</t>
  </si>
  <si>
    <t>7,25+17,64+11,76*2+17,64+14,7*2+14,91+38,03+5,63+14,91+14,7*3+17,01+6,44</t>
  </si>
  <si>
    <t>59</t>
  </si>
  <si>
    <t>284121000</t>
  </si>
  <si>
    <t>krytina podlahová novilon® nova</t>
  </si>
  <si>
    <t>60</t>
  </si>
  <si>
    <t>776590150</t>
  </si>
  <si>
    <t>Úprava podkladu nášlapných ploch penetrací</t>
  </si>
  <si>
    <t>61</t>
  </si>
  <si>
    <t>611552210</t>
  </si>
  <si>
    <t>penetrace THOMSIT R 777 (á 10 kg)</t>
  </si>
  <si>
    <t>kg</t>
  </si>
  <si>
    <t>62</t>
  </si>
  <si>
    <t>776990112</t>
  </si>
  <si>
    <t>Vyrovnání podkladu samonivelační stěrkou tl 3 mm pevnosti 30 Mpa</t>
  </si>
  <si>
    <t>63</t>
  </si>
  <si>
    <t>998776103</t>
  </si>
  <si>
    <t>Přesun hmot tonážní pro podlahy povlakové v objektech v do 24 m</t>
  </si>
  <si>
    <t>64</t>
  </si>
  <si>
    <t>78144181R</t>
  </si>
  <si>
    <t>Demontáž obkladů z obkladaček,teraca vnitřních parapetů</t>
  </si>
  <si>
    <t>0,3*(0,9*3+2,1*11)</t>
  </si>
  <si>
    <t>65</t>
  </si>
  <si>
    <t>781471810</t>
  </si>
  <si>
    <t>Demontáž obkladů z obkladaček keramických kladených do malty</t>
  </si>
  <si>
    <t>1,8*(2+2+2+2+1,05+1,45+0,8+1,5+1,15+2,15)-0,25*(0,9+0,9+0,9)+1,8*(1,9+0,7+0,5+2,95)</t>
  </si>
  <si>
    <t>1,8*(1,75+1,7+2+1,9)-0,85*2,1</t>
  </si>
  <si>
    <t>66</t>
  </si>
  <si>
    <t>781474114</t>
  </si>
  <si>
    <t>Montáž obkladů vnitřních keramických hladkých do 22 ks/m2 lepených flexibilním lepidlem</t>
  </si>
  <si>
    <t>1,8*(1,5+1,7+1,9+1,7+1,7+1,7+1,8+1,7+1,9+1,7*2+1,7+9+7,3)-0,9*0,9*3</t>
  </si>
  <si>
    <t>2,1*14,2-1,15*2,1+1,8*(3,3+0,8+4,1)</t>
  </si>
  <si>
    <t>67</t>
  </si>
  <si>
    <t>597610390</t>
  </si>
  <si>
    <t>obkládačky keramické RAKO - koupelny NEO (bílé i barevné) 20 x 25 x 0,68 cm I. j.</t>
  </si>
  <si>
    <t>68</t>
  </si>
  <si>
    <t>781479196</t>
  </si>
  <si>
    <t>Příplatek k montáži obkladů vnitřních keramických hladkých za spárování tmelem dvousložkovým</t>
  </si>
  <si>
    <t>106,335</t>
  </si>
  <si>
    <t>69</t>
  </si>
  <si>
    <t>781494511</t>
  </si>
  <si>
    <t>Plastové profily ukončovací lepené flexibilním lepidlem</t>
  </si>
  <si>
    <t>1,5+1,7+1,9+1,7+1,7+1,7+1,8+1,7+1,9+1,7*2+1,7+9+7,3</t>
  </si>
  <si>
    <t>14,2+3,3+0,8+4,1</t>
  </si>
  <si>
    <t>70</t>
  </si>
  <si>
    <t>781495111</t>
  </si>
  <si>
    <t>Penetrace podkladu vnitřních obkladů</t>
  </si>
  <si>
    <t>71</t>
  </si>
  <si>
    <t>998781103</t>
  </si>
  <si>
    <t>Přesun hmot tonážní pro obklady keramické v objektech v do 24 m</t>
  </si>
  <si>
    <t>72</t>
  </si>
  <si>
    <t>78382412R</t>
  </si>
  <si>
    <t>Nátěry omítek a betonových povrchů  Primalex Fortissimo omyvatelný a otěruvzdorný vnitřní dvojnásobný</t>
  </si>
  <si>
    <t>6m2/1kg</t>
  </si>
  <si>
    <t>1,5*(25,35*2-1,1*13-1,25-2,4+3,75*2-0,8-1,1+0,6)</t>
  </si>
  <si>
    <t>73</t>
  </si>
  <si>
    <t>784221101</t>
  </si>
  <si>
    <t>Dvojnásobné bílé malby  ze směsí za sucha dobře otěruvzdorných v místnostech do 3,80 m</t>
  </si>
  <si>
    <t>16,79+17,64+11,76+11,76+17,64+14,7*2+14,91+14,91+14,7*3+17,01+13,44+6,21+5,99+4,04</t>
  </si>
  <si>
    <t>2,95*(4,05*2+3,2*2+1,65*2+2,45*2+4,2*3+3,75*2)+3,1*1,5*2-1,1*1,97*2</t>
  </si>
  <si>
    <t>-106,335-58,425</t>
  </si>
  <si>
    <t>1) Souhrnný list stavby</t>
  </si>
  <si>
    <t>2) Rekapitulace objektů</t>
  </si>
  <si>
    <t>/</t>
  </si>
  <si>
    <t>1) Krycí list rozpočtu</t>
  </si>
  <si>
    <t>2) Rekapitulace rozpočtu</t>
  </si>
  <si>
    <t>3) Rozpočet</t>
  </si>
  <si>
    <t>Rekapitulace stavby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</si>
</sst>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</numFmts>
  <fonts count="73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sz val="8"/>
      <color indexed="48"/>
      <name val="Trebuchet MS"/>
      <family val="0"/>
    </font>
    <font>
      <b/>
      <sz val="16"/>
      <name val="Trebuchet MS"/>
      <family val="0"/>
    </font>
    <font>
      <b/>
      <sz val="12"/>
      <color indexed="55"/>
      <name val="Trebuchet MS"/>
      <family val="0"/>
    </font>
    <font>
      <b/>
      <sz val="8"/>
      <color indexed="55"/>
      <name val="Trebuchet MS"/>
      <family val="0"/>
    </font>
    <font>
      <b/>
      <sz val="12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sz val="10"/>
      <color indexed="63"/>
      <name val="Trebuchet MS"/>
      <family val="0"/>
    </font>
    <font>
      <sz val="10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10"/>
      <color indexed="63"/>
      <name val="Trebuchet MS"/>
      <family val="0"/>
    </font>
    <font>
      <sz val="10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2"/>
      <name val="Trebuchet MS"/>
      <family val="0"/>
    </font>
    <font>
      <sz val="11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sz val="11"/>
      <color indexed="55"/>
      <name val="Trebuchet MS"/>
      <family val="0"/>
    </font>
    <font>
      <sz val="10"/>
      <color indexed="56"/>
      <name val="Trebuchet MS"/>
      <family val="0"/>
    </font>
    <font>
      <sz val="12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sz val="8"/>
      <color indexed="56"/>
      <name val="Trebuchet MS"/>
      <family val="0"/>
    </font>
    <font>
      <sz val="8"/>
      <color indexed="63"/>
      <name val="Trebuchet MS"/>
      <family val="0"/>
    </font>
    <font>
      <sz val="8"/>
      <color indexed="10"/>
      <name val="Trebuchet MS"/>
      <family val="0"/>
    </font>
    <font>
      <i/>
      <sz val="8"/>
      <color indexed="12"/>
      <name val="Trebuchet MS"/>
      <family val="0"/>
    </font>
    <font>
      <i/>
      <sz val="7"/>
      <color indexed="55"/>
      <name val="Trebuchet MS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8"/>
      <color indexed="12"/>
      <name val="Trebuchet MS"/>
      <family val="0"/>
    </font>
    <font>
      <sz val="18"/>
      <color indexed="12"/>
      <name val="Wingdings 2"/>
      <family val="1"/>
    </font>
    <font>
      <u val="single"/>
      <sz val="10"/>
      <color indexed="12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Trebuchet MS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10"/>
      <name val="Wingdings 2"/>
      <family val="1"/>
    </font>
    <font>
      <u val="single"/>
      <sz val="10"/>
      <color theme="10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/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 style="hair">
        <color indexed="55"/>
      </left>
      <right/>
      <top/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/>
      <bottom/>
    </border>
    <border>
      <left style="hair">
        <color indexed="55"/>
      </left>
      <right style="hair">
        <color indexed="55"/>
      </right>
      <top/>
      <bottom style="hair">
        <color indexed="55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20" borderId="0" applyNumberFormat="0" applyBorder="0" applyAlignment="0" applyProtection="0"/>
    <xf numFmtId="0" fontId="5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4" fillId="0" borderId="7" applyNumberFormat="0" applyFill="0" applyAlignment="0" applyProtection="0"/>
    <xf numFmtId="0" fontId="65" fillId="24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5" borderId="8" applyNumberFormat="0" applyAlignment="0" applyProtection="0"/>
    <xf numFmtId="0" fontId="68" fillId="26" borderId="8" applyNumberFormat="0" applyAlignment="0" applyProtection="0"/>
    <xf numFmtId="0" fontId="69" fillId="26" borderId="9" applyNumberFormat="0" applyAlignment="0" applyProtection="0"/>
    <xf numFmtId="0" fontId="70" fillId="0" borderId="0" applyNumberFormat="0" applyFill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4" fillId="32" borderId="0" applyNumberFormat="0" applyBorder="0" applyAlignment="0" applyProtection="0"/>
  </cellStyleXfs>
  <cellXfs count="242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33" borderId="0" xfId="0" applyFill="1" applyAlignment="1">
      <alignment horizontal="left" vertical="top"/>
    </xf>
    <xf numFmtId="0" fontId="1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0" xfId="0" applyBorder="1" applyAlignment="1" applyProtection="1">
      <alignment horizontal="left" vertical="top"/>
      <protection/>
    </xf>
    <xf numFmtId="0" fontId="0" fillId="0" borderId="11" xfId="0" applyBorder="1" applyAlignment="1" applyProtection="1">
      <alignment horizontal="left" vertical="top"/>
      <protection/>
    </xf>
    <xf numFmtId="0" fontId="0" fillId="0" borderId="12" xfId="0" applyBorder="1" applyAlignment="1" applyProtection="1">
      <alignment horizontal="left" vertical="top"/>
      <protection/>
    </xf>
    <xf numFmtId="0" fontId="0" fillId="0" borderId="13" xfId="0" applyBorder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0" fillId="0" borderId="14" xfId="0" applyBorder="1" applyAlignment="1" applyProtection="1">
      <alignment horizontal="left" vertical="top"/>
      <protection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 applyProtection="1">
      <alignment horizontal="left" vertical="center"/>
      <protection/>
    </xf>
    <xf numFmtId="0" fontId="8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34" borderId="0" xfId="0" applyFont="1" applyFill="1" applyAlignment="1">
      <alignment horizontal="left" vertical="center"/>
    </xf>
    <xf numFmtId="49" fontId="9" fillId="34" borderId="0" xfId="0" applyNumberFormat="1" applyFont="1" applyFill="1" applyAlignment="1">
      <alignment horizontal="left" vertical="top"/>
    </xf>
    <xf numFmtId="0" fontId="0" fillId="0" borderId="15" xfId="0" applyBorder="1" applyAlignment="1" applyProtection="1">
      <alignment horizontal="left" vertical="top"/>
      <protection/>
    </xf>
    <xf numFmtId="0" fontId="10" fillId="0" borderId="0" xfId="0" applyFont="1" applyAlignment="1" applyProtection="1">
      <alignment horizontal="left" vertical="center"/>
      <protection/>
    </xf>
    <xf numFmtId="0" fontId="0" fillId="0" borderId="13" xfId="0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center"/>
      <protection/>
    </xf>
    <xf numFmtId="0" fontId="12" fillId="0" borderId="16" xfId="0" applyFont="1" applyBorder="1" applyAlignment="1" applyProtection="1">
      <alignment horizontal="left" vertical="center"/>
      <protection/>
    </xf>
    <xf numFmtId="0" fontId="0" fillId="0" borderId="16" xfId="0" applyBorder="1" applyAlignment="1" applyProtection="1">
      <alignment horizontal="left" vertical="center"/>
      <protection/>
    </xf>
    <xf numFmtId="0" fontId="13" fillId="0" borderId="13" xfId="0" applyFont="1" applyBorder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/>
      <protection/>
    </xf>
    <xf numFmtId="165" fontId="13" fillId="0" borderId="0" xfId="0" applyNumberFormat="1" applyFont="1" applyAlignment="1" applyProtection="1">
      <alignment horizontal="right" vertical="center"/>
      <protection/>
    </xf>
    <xf numFmtId="0" fontId="13" fillId="0" borderId="0" xfId="0" applyFont="1" applyAlignment="1" applyProtection="1">
      <alignment horizontal="center" vertical="center"/>
      <protection/>
    </xf>
    <xf numFmtId="0" fontId="13" fillId="0" borderId="14" xfId="0" applyFont="1" applyBorder="1" applyAlignment="1" applyProtection="1">
      <alignment horizontal="left" vertical="center"/>
      <protection/>
    </xf>
    <xf numFmtId="0" fontId="0" fillId="35" borderId="0" xfId="0" applyFill="1" applyAlignment="1" applyProtection="1">
      <alignment horizontal="left" vertical="center"/>
      <protection/>
    </xf>
    <xf numFmtId="0" fontId="7" fillId="35" borderId="17" xfId="0" applyFont="1" applyFill="1" applyBorder="1" applyAlignment="1" applyProtection="1">
      <alignment horizontal="left" vertical="center"/>
      <protection/>
    </xf>
    <xf numFmtId="0" fontId="0" fillId="35" borderId="18" xfId="0" applyFill="1" applyBorder="1" applyAlignment="1" applyProtection="1">
      <alignment horizontal="left" vertical="center"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14" fillId="0" borderId="19" xfId="0" applyFont="1" applyBorder="1" applyAlignment="1" applyProtection="1">
      <alignment horizontal="left" vertical="center"/>
      <protection/>
    </xf>
    <xf numFmtId="0" fontId="0" fillId="0" borderId="20" xfId="0" applyBorder="1" applyAlignment="1" applyProtection="1">
      <alignment horizontal="left" vertical="center"/>
      <protection/>
    </xf>
    <xf numFmtId="0" fontId="0" fillId="0" borderId="21" xfId="0" applyBorder="1" applyAlignment="1" applyProtection="1">
      <alignment horizontal="left" vertical="center"/>
      <protection/>
    </xf>
    <xf numFmtId="0" fontId="0" fillId="0" borderId="22" xfId="0" applyBorder="1" applyAlignment="1" applyProtection="1">
      <alignment horizontal="left" vertical="top"/>
      <protection/>
    </xf>
    <xf numFmtId="0" fontId="0" fillId="0" borderId="23" xfId="0" applyBorder="1" applyAlignment="1" applyProtection="1">
      <alignment horizontal="left" vertical="top"/>
      <protection/>
    </xf>
    <xf numFmtId="0" fontId="15" fillId="0" borderId="24" xfId="0" applyFont="1" applyBorder="1" applyAlignment="1" applyProtection="1">
      <alignment horizontal="left" vertical="center"/>
      <protection/>
    </xf>
    <xf numFmtId="0" fontId="0" fillId="0" borderId="25" xfId="0" applyBorder="1" applyAlignment="1" applyProtection="1">
      <alignment horizontal="left" vertical="center"/>
      <protection/>
    </xf>
    <xf numFmtId="0" fontId="15" fillId="0" borderId="25" xfId="0" applyFont="1" applyBorder="1" applyAlignment="1" applyProtection="1">
      <alignment horizontal="left" vertical="center"/>
      <protection/>
    </xf>
    <xf numFmtId="0" fontId="0" fillId="0" borderId="26" xfId="0" applyBorder="1" applyAlignment="1" applyProtection="1">
      <alignment horizontal="left" vertical="center"/>
      <protection/>
    </xf>
    <xf numFmtId="0" fontId="0" fillId="0" borderId="27" xfId="0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 horizontal="left" vertical="center"/>
      <protection/>
    </xf>
    <xf numFmtId="0" fontId="0" fillId="0" borderId="11" xfId="0" applyBorder="1" applyAlignment="1" applyProtection="1">
      <alignment horizontal="left" vertical="center"/>
      <protection/>
    </xf>
    <xf numFmtId="0" fontId="0" fillId="0" borderId="12" xfId="0" applyBorder="1" applyAlignment="1" applyProtection="1">
      <alignment horizontal="left" vertical="center"/>
      <protection/>
    </xf>
    <xf numFmtId="0" fontId="7" fillId="0" borderId="0" xfId="0" applyFont="1" applyAlignment="1">
      <alignment horizontal="left" vertical="center"/>
    </xf>
    <xf numFmtId="0" fontId="7" fillId="0" borderId="13" xfId="0" applyFont="1" applyBorder="1" applyAlignment="1" applyProtection="1">
      <alignment horizontal="left" vertical="center"/>
      <protection/>
    </xf>
    <xf numFmtId="0" fontId="7" fillId="0" borderId="14" xfId="0" applyFont="1" applyBorder="1" applyAlignment="1" applyProtection="1">
      <alignment horizontal="left" vertical="center"/>
      <protection/>
    </xf>
    <xf numFmtId="0" fontId="16" fillId="0" borderId="0" xfId="0" applyFont="1" applyAlignment="1" applyProtection="1">
      <alignment horizontal="left" vertical="center"/>
      <protection/>
    </xf>
    <xf numFmtId="166" fontId="9" fillId="0" borderId="0" xfId="0" applyNumberFormat="1" applyFont="1" applyAlignment="1" applyProtection="1">
      <alignment horizontal="left" vertical="top"/>
      <protection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2" xfId="0" applyBorder="1" applyAlignment="1" applyProtection="1">
      <alignment horizontal="left" vertical="center"/>
      <protection/>
    </xf>
    <xf numFmtId="0" fontId="0" fillId="0" borderId="23" xfId="0" applyBorder="1" applyAlignment="1" applyProtection="1">
      <alignment horizontal="left" vertical="center"/>
      <protection/>
    </xf>
    <xf numFmtId="0" fontId="8" fillId="0" borderId="30" xfId="0" applyFont="1" applyBorder="1" applyAlignment="1" applyProtection="1">
      <alignment horizontal="center" vertical="center" wrapText="1"/>
      <protection/>
    </xf>
    <xf numFmtId="0" fontId="8" fillId="0" borderId="31" xfId="0" applyFont="1" applyBorder="1" applyAlignment="1" applyProtection="1">
      <alignment horizontal="center" vertical="center" wrapText="1"/>
      <protection/>
    </xf>
    <xf numFmtId="0" fontId="8" fillId="0" borderId="32" xfId="0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 vertical="center"/>
    </xf>
    <xf numFmtId="0" fontId="0" fillId="0" borderId="19" xfId="0" applyBorder="1" applyAlignment="1" applyProtection="1">
      <alignment horizontal="left" vertical="center"/>
      <protection/>
    </xf>
    <xf numFmtId="0" fontId="18" fillId="0" borderId="0" xfId="0" applyFont="1" applyAlignment="1" applyProtection="1">
      <alignment horizontal="left" vertical="center"/>
      <protection/>
    </xf>
    <xf numFmtId="164" fontId="17" fillId="0" borderId="22" xfId="0" applyNumberFormat="1" applyFont="1" applyBorder="1" applyAlignment="1" applyProtection="1">
      <alignment horizontal="right" vertical="center"/>
      <protection/>
    </xf>
    <xf numFmtId="164" fontId="17" fillId="0" borderId="0" xfId="0" applyNumberFormat="1" applyFont="1" applyAlignment="1" applyProtection="1">
      <alignment horizontal="right" vertical="center"/>
      <protection/>
    </xf>
    <xf numFmtId="167" fontId="17" fillId="0" borderId="0" xfId="0" applyNumberFormat="1" applyFont="1" applyAlignment="1" applyProtection="1">
      <alignment horizontal="right" vertical="center"/>
      <protection/>
    </xf>
    <xf numFmtId="164" fontId="17" fillId="0" borderId="23" xfId="0" applyNumberFormat="1" applyFont="1" applyBorder="1" applyAlignment="1" applyProtection="1">
      <alignment horizontal="right" vertical="center"/>
      <protection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0" fillId="0" borderId="13" xfId="0" applyFont="1" applyBorder="1" applyAlignment="1" applyProtection="1">
      <alignment horizontal="left"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20" fillId="0" borderId="14" xfId="0" applyFont="1" applyBorder="1" applyAlignment="1" applyProtection="1">
      <alignment horizontal="left" vertical="center"/>
      <protection/>
    </xf>
    <xf numFmtId="164" fontId="23" fillId="0" borderId="22" xfId="0" applyNumberFormat="1" applyFont="1" applyBorder="1" applyAlignment="1" applyProtection="1">
      <alignment horizontal="right" vertical="center"/>
      <protection/>
    </xf>
    <xf numFmtId="164" fontId="23" fillId="0" borderId="0" xfId="0" applyNumberFormat="1" applyFont="1" applyAlignment="1" applyProtection="1">
      <alignment horizontal="right" vertical="center"/>
      <protection/>
    </xf>
    <xf numFmtId="167" fontId="23" fillId="0" borderId="0" xfId="0" applyNumberFormat="1" applyFont="1" applyAlignment="1" applyProtection="1">
      <alignment horizontal="right" vertical="center"/>
      <protection/>
    </xf>
    <xf numFmtId="164" fontId="23" fillId="0" borderId="23" xfId="0" applyNumberFormat="1" applyFont="1" applyBorder="1" applyAlignment="1" applyProtection="1">
      <alignment horizontal="right" vertical="center"/>
      <protection/>
    </xf>
    <xf numFmtId="164" fontId="23" fillId="0" borderId="24" xfId="0" applyNumberFormat="1" applyFont="1" applyBorder="1" applyAlignment="1" applyProtection="1">
      <alignment horizontal="right" vertical="center"/>
      <protection/>
    </xf>
    <xf numFmtId="164" fontId="23" fillId="0" borderId="25" xfId="0" applyNumberFormat="1" applyFont="1" applyBorder="1" applyAlignment="1" applyProtection="1">
      <alignment horizontal="right" vertical="center"/>
      <protection/>
    </xf>
    <xf numFmtId="167" fontId="23" fillId="0" borderId="25" xfId="0" applyNumberFormat="1" applyFont="1" applyBorder="1" applyAlignment="1" applyProtection="1">
      <alignment horizontal="right" vertical="center"/>
      <protection/>
    </xf>
    <xf numFmtId="164" fontId="23" fillId="0" borderId="26" xfId="0" applyNumberFormat="1" applyFont="1" applyBorder="1" applyAlignment="1" applyProtection="1">
      <alignment horizontal="right" vertical="center"/>
      <protection/>
    </xf>
    <xf numFmtId="0" fontId="24" fillId="0" borderId="0" xfId="0" applyFont="1" applyAlignment="1" applyProtection="1">
      <alignment horizontal="left" vertical="center"/>
      <protection/>
    </xf>
    <xf numFmtId="165" fontId="15" fillId="34" borderId="19" xfId="0" applyNumberFormat="1" applyFont="1" applyFill="1" applyBorder="1" applyAlignment="1">
      <alignment horizontal="center" vertical="center"/>
    </xf>
    <xf numFmtId="0" fontId="15" fillId="34" borderId="20" xfId="0" applyFont="1" applyFill="1" applyBorder="1" applyAlignment="1">
      <alignment horizontal="center" vertical="center"/>
    </xf>
    <xf numFmtId="164" fontId="15" fillId="0" borderId="21" xfId="0" applyNumberFormat="1" applyFont="1" applyBorder="1" applyAlignment="1" applyProtection="1">
      <alignment horizontal="right" vertical="center"/>
      <protection/>
    </xf>
    <xf numFmtId="164" fontId="0" fillId="0" borderId="0" xfId="0" applyNumberFormat="1" applyFont="1" applyAlignment="1">
      <alignment horizontal="right" vertical="center"/>
    </xf>
    <xf numFmtId="165" fontId="15" fillId="34" borderId="22" xfId="0" applyNumberFormat="1" applyFont="1" applyFill="1" applyBorder="1" applyAlignment="1">
      <alignment horizontal="center" vertical="center"/>
    </xf>
    <xf numFmtId="0" fontId="15" fillId="34" borderId="0" xfId="0" applyFont="1" applyFill="1" applyAlignment="1">
      <alignment horizontal="center" vertical="center"/>
    </xf>
    <xf numFmtId="164" fontId="15" fillId="0" borderId="23" xfId="0" applyNumberFormat="1" applyFont="1" applyBorder="1" applyAlignment="1" applyProtection="1">
      <alignment horizontal="right" vertical="center"/>
      <protection/>
    </xf>
    <xf numFmtId="165" fontId="15" fillId="34" borderId="24" xfId="0" applyNumberFormat="1" applyFont="1" applyFill="1" applyBorder="1" applyAlignment="1">
      <alignment horizontal="center" vertical="center"/>
    </xf>
    <xf numFmtId="0" fontId="15" fillId="34" borderId="25" xfId="0" applyFont="1" applyFill="1" applyBorder="1" applyAlignment="1">
      <alignment horizontal="center" vertical="center"/>
    </xf>
    <xf numFmtId="164" fontId="15" fillId="0" borderId="26" xfId="0" applyNumberFormat="1" applyFont="1" applyBorder="1" applyAlignment="1" applyProtection="1">
      <alignment horizontal="right" vertical="center"/>
      <protection/>
    </xf>
    <xf numFmtId="0" fontId="18" fillId="35" borderId="0" xfId="0" applyFont="1" applyFill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right" vertical="center"/>
      <protection/>
    </xf>
    <xf numFmtId="0" fontId="7" fillId="35" borderId="18" xfId="0" applyFont="1" applyFill="1" applyBorder="1" applyAlignment="1" applyProtection="1">
      <alignment horizontal="right" vertical="center"/>
      <protection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25" fillId="0" borderId="13" xfId="0" applyFont="1" applyBorder="1" applyAlignment="1" applyProtection="1">
      <alignment horizontal="left"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14" xfId="0" applyFont="1" applyBorder="1" applyAlignment="1" applyProtection="1">
      <alignment horizontal="left" vertical="center"/>
      <protection/>
    </xf>
    <xf numFmtId="0" fontId="11" fillId="0" borderId="0" xfId="0" applyFont="1" applyAlignment="1">
      <alignment horizontal="left" vertical="center"/>
    </xf>
    <xf numFmtId="0" fontId="24" fillId="0" borderId="13" xfId="0" applyFont="1" applyBorder="1" applyAlignment="1" applyProtection="1">
      <alignment horizontal="left" vertical="center"/>
      <protection/>
    </xf>
    <xf numFmtId="0" fontId="24" fillId="0" borderId="14" xfId="0" applyFont="1" applyBorder="1" applyAlignment="1" applyProtection="1">
      <alignment horizontal="left" vertical="center"/>
      <protection/>
    </xf>
    <xf numFmtId="0" fontId="0" fillId="0" borderId="33" xfId="0" applyBorder="1" applyAlignment="1" applyProtection="1">
      <alignment horizontal="left" vertical="center"/>
      <protection/>
    </xf>
    <xf numFmtId="0" fontId="8" fillId="0" borderId="33" xfId="0" applyFont="1" applyBorder="1" applyAlignment="1" applyProtection="1">
      <alignment horizontal="center" vertical="center"/>
      <protection/>
    </xf>
    <xf numFmtId="0" fontId="0" fillId="0" borderId="34" xfId="0" applyBorder="1" applyAlignment="1" applyProtection="1">
      <alignment horizontal="left" vertical="center"/>
      <protection/>
    </xf>
    <xf numFmtId="0" fontId="15" fillId="0" borderId="34" xfId="0" applyFont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 horizontal="left" vertical="center"/>
      <protection/>
    </xf>
    <xf numFmtId="0" fontId="15" fillId="0" borderId="35" xfId="0" applyFont="1" applyBorder="1" applyAlignment="1" applyProtection="1">
      <alignment horizontal="center" vertical="center"/>
      <protection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  <protection/>
    </xf>
    <xf numFmtId="0" fontId="9" fillId="35" borderId="30" xfId="0" applyFont="1" applyFill="1" applyBorder="1" applyAlignment="1" applyProtection="1">
      <alignment horizontal="center" vertical="center" wrapText="1"/>
      <protection/>
    </xf>
    <xf numFmtId="0" fontId="9" fillId="35" borderId="31" xfId="0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167" fontId="26" fillId="0" borderId="20" xfId="0" applyNumberFormat="1" applyFont="1" applyBorder="1" applyAlignment="1" applyProtection="1">
      <alignment horizontal="right"/>
      <protection/>
    </xf>
    <xf numFmtId="167" fontId="26" fillId="0" borderId="21" xfId="0" applyNumberFormat="1" applyFont="1" applyBorder="1" applyAlignment="1" applyProtection="1">
      <alignment horizontal="right"/>
      <protection/>
    </xf>
    <xf numFmtId="164" fontId="27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28" fillId="0" borderId="13" xfId="0" applyFont="1" applyBorder="1" applyAlignment="1" applyProtection="1">
      <alignment horizontal="left"/>
      <protection/>
    </xf>
    <xf numFmtId="0" fontId="28" fillId="0" borderId="0" xfId="0" applyFont="1" applyAlignment="1" applyProtection="1">
      <alignment horizontal="left"/>
      <protection/>
    </xf>
    <xf numFmtId="0" fontId="25" fillId="0" borderId="0" xfId="0" applyFont="1" applyAlignment="1" applyProtection="1">
      <alignment horizontal="left"/>
      <protection/>
    </xf>
    <xf numFmtId="0" fontId="28" fillId="0" borderId="14" xfId="0" applyFont="1" applyBorder="1" applyAlignment="1" applyProtection="1">
      <alignment horizontal="left"/>
      <protection/>
    </xf>
    <xf numFmtId="0" fontId="28" fillId="0" borderId="22" xfId="0" applyFont="1" applyBorder="1" applyAlignment="1" applyProtection="1">
      <alignment horizontal="left"/>
      <protection/>
    </xf>
    <xf numFmtId="167" fontId="28" fillId="0" borderId="0" xfId="0" applyNumberFormat="1" applyFont="1" applyAlignment="1" applyProtection="1">
      <alignment horizontal="right"/>
      <protection/>
    </xf>
    <xf numFmtId="167" fontId="28" fillId="0" borderId="23" xfId="0" applyNumberFormat="1" applyFont="1" applyBorder="1" applyAlignment="1" applyProtection="1">
      <alignment horizontal="right"/>
      <protection/>
    </xf>
    <xf numFmtId="0" fontId="28" fillId="0" borderId="0" xfId="0" applyFont="1" applyAlignment="1">
      <alignment horizontal="left"/>
    </xf>
    <xf numFmtId="164" fontId="28" fillId="0" borderId="0" xfId="0" applyNumberFormat="1" applyFont="1" applyAlignment="1">
      <alignment horizontal="right" vertical="center"/>
    </xf>
    <xf numFmtId="0" fontId="24" fillId="0" borderId="0" xfId="0" applyFont="1" applyAlignment="1" applyProtection="1">
      <alignment horizontal="left"/>
      <protection/>
    </xf>
    <xf numFmtId="0" fontId="0" fillId="0" borderId="33" xfId="0" applyFont="1" applyBorder="1" applyAlignment="1" applyProtection="1">
      <alignment horizontal="center" vertical="center"/>
      <protection/>
    </xf>
    <xf numFmtId="49" fontId="0" fillId="0" borderId="33" xfId="0" applyNumberFormat="1" applyFont="1" applyBorder="1" applyAlignment="1" applyProtection="1">
      <alignment horizontal="left" vertical="center" wrapText="1"/>
      <protection/>
    </xf>
    <xf numFmtId="0" fontId="0" fillId="0" borderId="33" xfId="0" applyFont="1" applyBorder="1" applyAlignment="1" applyProtection="1">
      <alignment horizontal="center" vertical="center" wrapText="1"/>
      <protection/>
    </xf>
    <xf numFmtId="168" fontId="0" fillId="0" borderId="33" xfId="0" applyNumberFormat="1" applyFont="1" applyBorder="1" applyAlignment="1" applyProtection="1">
      <alignment horizontal="right" vertical="center"/>
      <protection/>
    </xf>
    <xf numFmtId="0" fontId="13" fillId="34" borderId="33" xfId="0" applyFont="1" applyFill="1" applyBorder="1" applyAlignment="1">
      <alignment horizontal="left" vertical="center"/>
    </xf>
    <xf numFmtId="167" fontId="13" fillId="0" borderId="0" xfId="0" applyNumberFormat="1" applyFont="1" applyAlignment="1" applyProtection="1">
      <alignment horizontal="right" vertical="center"/>
      <protection/>
    </xf>
    <xf numFmtId="167" fontId="13" fillId="0" borderId="23" xfId="0" applyNumberFormat="1" applyFont="1" applyBorder="1" applyAlignment="1" applyProtection="1">
      <alignment horizontal="right" vertical="center"/>
      <protection/>
    </xf>
    <xf numFmtId="0" fontId="0" fillId="34" borderId="33" xfId="0" applyFont="1" applyFill="1" applyBorder="1" applyAlignment="1">
      <alignment horizontal="center" vertical="center"/>
    </xf>
    <xf numFmtId="49" fontId="0" fillId="34" borderId="33" xfId="0" applyNumberFormat="1" applyFont="1" applyFill="1" applyBorder="1" applyAlignment="1">
      <alignment horizontal="left" vertical="center" wrapText="1"/>
    </xf>
    <xf numFmtId="0" fontId="0" fillId="34" borderId="33" xfId="0" applyFont="1" applyFill="1" applyBorder="1" applyAlignment="1">
      <alignment horizontal="center" vertical="center" wrapText="1"/>
    </xf>
    <xf numFmtId="168" fontId="0" fillId="34" borderId="33" xfId="0" applyNumberFormat="1" applyFont="1" applyFill="1" applyBorder="1" applyAlignment="1">
      <alignment horizontal="right" vertical="center"/>
    </xf>
    <xf numFmtId="0" fontId="13" fillId="34" borderId="33" xfId="0" applyFont="1" applyFill="1" applyBorder="1" applyAlignment="1">
      <alignment horizontal="center" vertical="center"/>
    </xf>
    <xf numFmtId="0" fontId="29" fillId="0" borderId="13" xfId="0" applyFont="1" applyBorder="1" applyAlignment="1" applyProtection="1">
      <alignment horizontal="left" vertical="center"/>
      <protection/>
    </xf>
    <xf numFmtId="0" fontId="29" fillId="0" borderId="0" xfId="0" applyFont="1" applyAlignment="1" applyProtection="1">
      <alignment horizontal="left" vertical="center"/>
      <protection/>
    </xf>
    <xf numFmtId="168" fontId="29" fillId="0" borderId="0" xfId="0" applyNumberFormat="1" applyFont="1" applyAlignment="1" applyProtection="1">
      <alignment horizontal="right" vertical="center"/>
      <protection/>
    </xf>
    <xf numFmtId="0" fontId="29" fillId="0" borderId="14" xfId="0" applyFont="1" applyBorder="1" applyAlignment="1" applyProtection="1">
      <alignment horizontal="left" vertical="center"/>
      <protection/>
    </xf>
    <xf numFmtId="0" fontId="29" fillId="0" borderId="22" xfId="0" applyFont="1" applyBorder="1" applyAlignment="1" applyProtection="1">
      <alignment horizontal="left" vertical="center"/>
      <protection/>
    </xf>
    <xf numFmtId="0" fontId="29" fillId="0" borderId="23" xfId="0" applyFont="1" applyBorder="1" applyAlignment="1" applyProtection="1">
      <alignment horizontal="left" vertical="center"/>
      <protection/>
    </xf>
    <xf numFmtId="0" fontId="29" fillId="0" borderId="0" xfId="0" applyFont="1" applyAlignment="1">
      <alignment horizontal="left" vertical="center"/>
    </xf>
    <xf numFmtId="0" fontId="30" fillId="0" borderId="13" xfId="0" applyFont="1" applyBorder="1" applyAlignment="1" applyProtection="1">
      <alignment horizontal="left" vertical="center"/>
      <protection/>
    </xf>
    <xf numFmtId="0" fontId="30" fillId="0" borderId="0" xfId="0" applyFont="1" applyAlignment="1" applyProtection="1">
      <alignment horizontal="left" vertical="center"/>
      <protection/>
    </xf>
    <xf numFmtId="168" fontId="30" fillId="0" borderId="0" xfId="0" applyNumberFormat="1" applyFont="1" applyAlignment="1" applyProtection="1">
      <alignment horizontal="right" vertical="center"/>
      <protection/>
    </xf>
    <xf numFmtId="0" fontId="30" fillId="0" borderId="14" xfId="0" applyFont="1" applyBorder="1" applyAlignment="1" applyProtection="1">
      <alignment horizontal="left" vertical="center"/>
      <protection/>
    </xf>
    <xf numFmtId="0" fontId="30" fillId="0" borderId="22" xfId="0" applyFont="1" applyBorder="1" applyAlignment="1" applyProtection="1">
      <alignment horizontal="left" vertical="center"/>
      <protection/>
    </xf>
    <xf numFmtId="0" fontId="30" fillId="0" borderId="23" xfId="0" applyFont="1" applyBorder="1" applyAlignment="1" applyProtection="1">
      <alignment horizontal="left" vertical="center"/>
      <protection/>
    </xf>
    <xf numFmtId="0" fontId="30" fillId="0" borderId="0" xfId="0" applyFont="1" applyAlignment="1">
      <alignment horizontal="left" vertical="center"/>
    </xf>
    <xf numFmtId="0" fontId="31" fillId="0" borderId="33" xfId="0" applyFont="1" applyBorder="1" applyAlignment="1" applyProtection="1">
      <alignment horizontal="center" vertical="center"/>
      <protection/>
    </xf>
    <xf numFmtId="49" fontId="31" fillId="0" borderId="33" xfId="0" applyNumberFormat="1" applyFont="1" applyBorder="1" applyAlignment="1" applyProtection="1">
      <alignment horizontal="left" vertical="center" wrapText="1"/>
      <protection/>
    </xf>
    <xf numFmtId="0" fontId="31" fillId="0" borderId="33" xfId="0" applyFont="1" applyBorder="1" applyAlignment="1" applyProtection="1">
      <alignment horizontal="center" vertical="center" wrapText="1"/>
      <protection/>
    </xf>
    <xf numFmtId="168" fontId="31" fillId="0" borderId="33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4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left" vertical="top"/>
      <protection/>
    </xf>
    <xf numFmtId="0" fontId="6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7" fillId="0" borderId="0" xfId="0" applyFont="1" applyAlignment="1" applyProtection="1">
      <alignment horizontal="left" vertical="center"/>
      <protection/>
    </xf>
    <xf numFmtId="49" fontId="9" fillId="34" borderId="0" xfId="0" applyNumberFormat="1" applyFont="1" applyFill="1" applyAlignment="1">
      <alignment horizontal="left" vertical="top"/>
    </xf>
    <xf numFmtId="164" fontId="11" fillId="0" borderId="0" xfId="0" applyNumberFormat="1" applyFont="1" applyAlignment="1" applyProtection="1">
      <alignment horizontal="right" vertical="center"/>
      <protection/>
    </xf>
    <xf numFmtId="164" fontId="12" fillId="0" borderId="16" xfId="0" applyNumberFormat="1" applyFont="1" applyBorder="1" applyAlignment="1" applyProtection="1">
      <alignment horizontal="right" vertical="center"/>
      <protection/>
    </xf>
    <xf numFmtId="0" fontId="0" fillId="0" borderId="16" xfId="0" applyBorder="1" applyAlignment="1" applyProtection="1">
      <alignment horizontal="left" vertical="center"/>
      <protection/>
    </xf>
    <xf numFmtId="165" fontId="13" fillId="0" borderId="0" xfId="0" applyNumberFormat="1" applyFont="1" applyAlignment="1" applyProtection="1">
      <alignment horizontal="right" vertical="center"/>
      <protection/>
    </xf>
    <xf numFmtId="0" fontId="13" fillId="0" borderId="0" xfId="0" applyFont="1" applyAlignment="1" applyProtection="1">
      <alignment horizontal="left" vertical="center"/>
      <protection/>
    </xf>
    <xf numFmtId="164" fontId="6" fillId="0" borderId="0" xfId="0" applyNumberFormat="1" applyFont="1" applyAlignment="1" applyProtection="1">
      <alignment horizontal="right" vertical="center"/>
      <protection/>
    </xf>
    <xf numFmtId="0" fontId="7" fillId="35" borderId="18" xfId="0" applyFont="1" applyFill="1" applyBorder="1" applyAlignment="1" applyProtection="1">
      <alignment horizontal="left" vertical="center"/>
      <protection/>
    </xf>
    <xf numFmtId="0" fontId="0" fillId="35" borderId="18" xfId="0" applyFill="1" applyBorder="1" applyAlignment="1" applyProtection="1">
      <alignment horizontal="left" vertical="center"/>
      <protection/>
    </xf>
    <xf numFmtId="164" fontId="7" fillId="35" borderId="18" xfId="0" applyNumberFormat="1" applyFont="1" applyFill="1" applyBorder="1" applyAlignment="1" applyProtection="1">
      <alignment horizontal="right" vertical="center"/>
      <protection/>
    </xf>
    <xf numFmtId="0" fontId="0" fillId="35" borderId="36" xfId="0" applyFill="1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17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2" xfId="0" applyBorder="1" applyAlignment="1" applyProtection="1">
      <alignment horizontal="left" vertical="center"/>
      <protection/>
    </xf>
    <xf numFmtId="0" fontId="9" fillId="35" borderId="17" xfId="0" applyFont="1" applyFill="1" applyBorder="1" applyAlignment="1" applyProtection="1">
      <alignment horizontal="center" vertical="center"/>
      <protection/>
    </xf>
    <xf numFmtId="0" fontId="9" fillId="35" borderId="18" xfId="0" applyFont="1" applyFill="1" applyBorder="1" applyAlignment="1" applyProtection="1">
      <alignment horizontal="center" vertical="center"/>
      <protection/>
    </xf>
    <xf numFmtId="164" fontId="22" fillId="0" borderId="0" xfId="0" applyNumberFormat="1" applyFont="1" applyAlignment="1" applyProtection="1">
      <alignment horizontal="right"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1" fillId="0" borderId="0" xfId="0" applyFont="1" applyAlignment="1" applyProtection="1">
      <alignment horizontal="left" vertical="center" wrapText="1"/>
      <protection/>
    </xf>
    <xf numFmtId="0" fontId="21" fillId="0" borderId="0" xfId="0" applyFont="1" applyAlignment="1" applyProtection="1">
      <alignment horizontal="left" vertical="center"/>
      <protection/>
    </xf>
    <xf numFmtId="164" fontId="24" fillId="34" borderId="0" xfId="0" applyNumberFormat="1" applyFont="1" applyFill="1" applyAlignment="1">
      <alignment horizontal="right" vertical="center"/>
    </xf>
    <xf numFmtId="164" fontId="24" fillId="0" borderId="0" xfId="0" applyNumberFormat="1" applyFont="1" applyAlignment="1" applyProtection="1">
      <alignment horizontal="right" vertical="center"/>
      <protection/>
    </xf>
    <xf numFmtId="0" fontId="24" fillId="34" borderId="0" xfId="0" applyFont="1" applyFill="1" applyAlignment="1">
      <alignment horizontal="left" vertical="center"/>
    </xf>
    <xf numFmtId="164" fontId="18" fillId="0" borderId="0" xfId="0" applyNumberFormat="1" applyFont="1" applyAlignment="1" applyProtection="1">
      <alignment horizontal="right" vertical="center"/>
      <protection/>
    </xf>
    <xf numFmtId="0" fontId="18" fillId="0" borderId="0" xfId="0" applyFont="1" applyAlignment="1" applyProtection="1">
      <alignment horizontal="left" vertical="center"/>
      <protection/>
    </xf>
    <xf numFmtId="164" fontId="18" fillId="35" borderId="0" xfId="0" applyNumberFormat="1" applyFont="1" applyFill="1" applyAlignment="1" applyProtection="1">
      <alignment horizontal="right" vertical="center"/>
      <protection/>
    </xf>
    <xf numFmtId="0" fontId="0" fillId="35" borderId="0" xfId="0" applyFill="1" applyAlignment="1" applyProtection="1">
      <alignment horizontal="left" vertical="center"/>
      <protection/>
    </xf>
    <xf numFmtId="0" fontId="3" fillId="35" borderId="0" xfId="0" applyFont="1" applyFill="1" applyAlignment="1">
      <alignment horizontal="center" vertical="center"/>
    </xf>
    <xf numFmtId="0" fontId="8" fillId="0" borderId="0" xfId="0" applyFont="1" applyAlignment="1" applyProtection="1">
      <alignment horizontal="left" vertical="center"/>
      <protection/>
    </xf>
    <xf numFmtId="166" fontId="9" fillId="34" borderId="0" xfId="0" applyNumberFormat="1" applyFont="1" applyFill="1" applyAlignment="1">
      <alignment horizontal="left" vertical="top"/>
    </xf>
    <xf numFmtId="0" fontId="9" fillId="34" borderId="0" xfId="0" applyFont="1" applyFill="1" applyAlignment="1">
      <alignment horizontal="left" vertical="center"/>
    </xf>
    <xf numFmtId="164" fontId="12" fillId="0" borderId="0" xfId="0" applyNumberFormat="1" applyFont="1" applyAlignment="1" applyProtection="1">
      <alignment horizontal="right" vertical="center"/>
      <protection/>
    </xf>
    <xf numFmtId="164" fontId="13" fillId="0" borderId="0" xfId="0" applyNumberFormat="1" applyFont="1" applyAlignment="1" applyProtection="1">
      <alignment horizontal="right" vertical="center"/>
      <protection/>
    </xf>
    <xf numFmtId="166" fontId="9" fillId="0" borderId="0" xfId="0" applyNumberFormat="1" applyFont="1" applyAlignment="1" applyProtection="1">
      <alignment horizontal="left" vertical="top"/>
      <protection/>
    </xf>
    <xf numFmtId="0" fontId="9" fillId="35" borderId="0" xfId="0" applyFont="1" applyFill="1" applyAlignment="1" applyProtection="1">
      <alignment horizontal="center" vertical="center"/>
      <protection/>
    </xf>
    <xf numFmtId="164" fontId="25" fillId="0" borderId="0" xfId="0" applyNumberFormat="1" applyFont="1" applyAlignment="1" applyProtection="1">
      <alignment horizontal="right"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horizontal="left" vertical="center"/>
      <protection/>
    </xf>
    <xf numFmtId="164" fontId="25" fillId="0" borderId="0" xfId="0" applyNumberFormat="1" applyFont="1" applyAlignment="1" applyProtection="1">
      <alignment horizontal="right"/>
      <protection/>
    </xf>
    <xf numFmtId="0" fontId="9" fillId="35" borderId="31" xfId="0" applyFont="1" applyFill="1" applyBorder="1" applyAlignment="1" applyProtection="1">
      <alignment horizontal="center" vertical="center" wrapText="1"/>
      <protection/>
    </xf>
    <xf numFmtId="0" fontId="0" fillId="35" borderId="31" xfId="0" applyFill="1" applyBorder="1" applyAlignment="1" applyProtection="1">
      <alignment horizontal="center" vertical="center" wrapText="1"/>
      <protection/>
    </xf>
    <xf numFmtId="0" fontId="0" fillId="35" borderId="32" xfId="0" applyFill="1" applyBorder="1" applyAlignment="1" applyProtection="1">
      <alignment horizontal="center" vertical="center" wrapText="1"/>
      <protection/>
    </xf>
    <xf numFmtId="0" fontId="0" fillId="0" borderId="33" xfId="0" applyFont="1" applyBorder="1" applyAlignment="1" applyProtection="1">
      <alignment horizontal="left" vertical="center" wrapText="1"/>
      <protection/>
    </xf>
    <xf numFmtId="0" fontId="0" fillId="0" borderId="33" xfId="0" applyBorder="1" applyAlignment="1" applyProtection="1">
      <alignment horizontal="left" vertical="center"/>
      <protection/>
    </xf>
    <xf numFmtId="164" fontId="0" fillId="34" borderId="33" xfId="0" applyNumberFormat="1" applyFont="1" applyFill="1" applyBorder="1" applyAlignment="1">
      <alignment horizontal="right" vertical="center"/>
    </xf>
    <xf numFmtId="164" fontId="0" fillId="0" borderId="33" xfId="0" applyNumberFormat="1" applyFont="1" applyBorder="1" applyAlignment="1" applyProtection="1">
      <alignment horizontal="right" vertical="center"/>
      <protection/>
    </xf>
    <xf numFmtId="0" fontId="0" fillId="34" borderId="33" xfId="0" applyFont="1" applyFill="1" applyBorder="1" applyAlignment="1">
      <alignment horizontal="left" vertical="center" wrapText="1"/>
    </xf>
    <xf numFmtId="0" fontId="0" fillId="34" borderId="33" xfId="0" applyFill="1" applyBorder="1" applyAlignment="1">
      <alignment horizontal="left" vertical="center"/>
    </xf>
    <xf numFmtId="164" fontId="18" fillId="0" borderId="0" xfId="0" applyNumberFormat="1" applyFont="1" applyAlignment="1" applyProtection="1">
      <alignment horizontal="right"/>
      <protection/>
    </xf>
    <xf numFmtId="0" fontId="28" fillId="0" borderId="0" xfId="0" applyFont="1" applyAlignment="1" applyProtection="1">
      <alignment horizontal="left"/>
      <protection/>
    </xf>
    <xf numFmtId="164" fontId="24" fillId="0" borderId="0" xfId="0" applyNumberFormat="1" applyFont="1" applyAlignment="1" applyProtection="1">
      <alignment horizontal="right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horizontal="left" vertical="center"/>
      <protection/>
    </xf>
    <xf numFmtId="0" fontId="30" fillId="0" borderId="0" xfId="0" applyFont="1" applyAlignment="1" applyProtection="1">
      <alignment horizontal="left" vertical="center" wrapText="1"/>
      <protection/>
    </xf>
    <xf numFmtId="0" fontId="30" fillId="0" borderId="0" xfId="0" applyFont="1" applyAlignment="1" applyProtection="1">
      <alignment horizontal="left" vertical="center"/>
      <protection/>
    </xf>
    <xf numFmtId="0" fontId="31" fillId="0" borderId="33" xfId="0" applyFont="1" applyBorder="1" applyAlignment="1" applyProtection="1">
      <alignment horizontal="left" vertical="center" wrapText="1"/>
      <protection/>
    </xf>
    <xf numFmtId="0" fontId="31" fillId="0" borderId="33" xfId="0" applyFont="1" applyBorder="1" applyAlignment="1" applyProtection="1">
      <alignment horizontal="left" vertical="center"/>
      <protection/>
    </xf>
    <xf numFmtId="164" fontId="31" fillId="34" borderId="33" xfId="0" applyNumberFormat="1" applyFont="1" applyFill="1" applyBorder="1" applyAlignment="1">
      <alignment horizontal="right" vertical="center"/>
    </xf>
    <xf numFmtId="164" fontId="31" fillId="0" borderId="33" xfId="0" applyNumberFormat="1" applyFont="1" applyBorder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top" wrapText="1"/>
      <protection/>
    </xf>
    <xf numFmtId="0" fontId="71" fillId="0" borderId="0" xfId="36" applyFont="1" applyAlignment="1">
      <alignment horizontal="center" vertical="center"/>
    </xf>
    <xf numFmtId="0" fontId="1" fillId="33" borderId="0" xfId="0" applyFont="1" applyFill="1" applyAlignment="1" applyProtection="1">
      <alignment horizontal="left" vertical="center"/>
      <protection/>
    </xf>
    <xf numFmtId="0" fontId="11" fillId="33" borderId="0" xfId="0" applyFont="1" applyFill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72" fillId="33" borderId="0" xfId="36" applyFont="1" applyFill="1" applyAlignment="1" applyProtection="1">
      <alignment horizontal="left" vertical="center"/>
      <protection/>
    </xf>
    <xf numFmtId="0" fontId="0" fillId="33" borderId="0" xfId="0" applyFont="1" applyFill="1" applyAlignment="1" applyProtection="1">
      <alignment horizontal="left" vertical="top"/>
      <protection/>
    </xf>
    <xf numFmtId="0" fontId="72" fillId="33" borderId="0" xfId="36" applyFont="1" applyFill="1" applyAlignment="1" applyProtection="1">
      <alignment horizontal="center" vertical="center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Program Files\KROSplus\System\Temp\rad3292E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Program Files\KROSplus\System\Temp\radE87EE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C:\Program Files\KROSplus\System\Temp\rad20C8C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rad3292E.tmp" descr="C:\Program Files\KROSplus\System\Temp\rad3292E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radE87EE.tmp" descr="C:\Program Files\KROSplus\System\Temp\radE87EE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rad20C8C.tmp" descr="C:\Program Files\KROSplus\System\Temp\rad20C8C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07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660156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33" width="2.5" style="2" customWidth="1"/>
    <col min="34" max="34" width="3.33203125" style="2" customWidth="1"/>
    <col min="35" max="37" width="2.5" style="2" customWidth="1"/>
    <col min="38" max="38" width="8.33203125" style="2" customWidth="1"/>
    <col min="39" max="39" width="3.33203125" style="2" customWidth="1"/>
    <col min="40" max="40" width="13.33203125" style="2" customWidth="1"/>
    <col min="41" max="41" width="7.5" style="2" customWidth="1"/>
    <col min="42" max="42" width="4.16015625" style="2" customWidth="1"/>
    <col min="43" max="43" width="1.66796875" style="2" customWidth="1"/>
    <col min="44" max="44" width="10.66015625" style="1" customWidth="1"/>
    <col min="45" max="46" width="25.83203125" style="2" hidden="1" customWidth="1"/>
    <col min="47" max="47" width="25" style="2" hidden="1" customWidth="1"/>
    <col min="48" max="52" width="21.66015625" style="2" hidden="1" customWidth="1"/>
    <col min="53" max="53" width="19.16015625" style="2" hidden="1" customWidth="1"/>
    <col min="54" max="54" width="25" style="2" hidden="1" customWidth="1"/>
    <col min="55" max="56" width="19.16015625" style="2" hidden="1" customWidth="1"/>
    <col min="57" max="57" width="66.5" style="2" customWidth="1"/>
    <col min="58" max="70" width="10.66015625" style="1" customWidth="1"/>
    <col min="71" max="89" width="10.66015625" style="2" hidden="1" customWidth="1"/>
    <col min="90" max="16384" width="10.66015625" style="1" customWidth="1"/>
  </cols>
  <sheetData>
    <row r="1" spans="1:256" s="3" customFormat="1" ht="22.5" customHeight="1">
      <c r="A1" s="236" t="s">
        <v>0</v>
      </c>
      <c r="B1" s="237"/>
      <c r="C1" s="237"/>
      <c r="D1" s="238" t="s">
        <v>1</v>
      </c>
      <c r="E1" s="237"/>
      <c r="F1" s="237"/>
      <c r="G1" s="237"/>
      <c r="H1" s="237"/>
      <c r="I1" s="237"/>
      <c r="J1" s="237"/>
      <c r="K1" s="239" t="s">
        <v>539</v>
      </c>
      <c r="L1" s="239"/>
      <c r="M1" s="239"/>
      <c r="N1" s="239"/>
      <c r="O1" s="239"/>
      <c r="P1" s="239"/>
      <c r="Q1" s="239"/>
      <c r="R1" s="239"/>
      <c r="S1" s="239"/>
      <c r="T1" s="237"/>
      <c r="U1" s="237"/>
      <c r="V1" s="237"/>
      <c r="W1" s="239" t="s">
        <v>540</v>
      </c>
      <c r="X1" s="239"/>
      <c r="Y1" s="239"/>
      <c r="Z1" s="239"/>
      <c r="AA1" s="239"/>
      <c r="AB1" s="239"/>
      <c r="AC1" s="239"/>
      <c r="AD1" s="239"/>
      <c r="AE1" s="239"/>
      <c r="AF1" s="239"/>
      <c r="AG1" s="237"/>
      <c r="AH1" s="237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4" t="s">
        <v>2</v>
      </c>
      <c r="BT1" s="4" t="s">
        <v>3</v>
      </c>
      <c r="BU1" s="4" t="s">
        <v>3</v>
      </c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37.5" customHeight="1">
      <c r="C2" s="164" t="s">
        <v>4</v>
      </c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  <c r="AC2" s="165"/>
      <c r="AD2" s="165"/>
      <c r="AE2" s="165"/>
      <c r="AF2" s="165"/>
      <c r="AG2" s="165"/>
      <c r="AH2" s="165"/>
      <c r="AI2" s="165"/>
      <c r="AJ2" s="165"/>
      <c r="AK2" s="165"/>
      <c r="AL2" s="165"/>
      <c r="AM2" s="165"/>
      <c r="AN2" s="165"/>
      <c r="AO2" s="165"/>
      <c r="AP2" s="165"/>
      <c r="AR2" s="202" t="s">
        <v>5</v>
      </c>
      <c r="AS2" s="165"/>
      <c r="AT2" s="165"/>
      <c r="AU2" s="165"/>
      <c r="AV2" s="165"/>
      <c r="AW2" s="165"/>
      <c r="AX2" s="165"/>
      <c r="AY2" s="165"/>
      <c r="AZ2" s="165"/>
      <c r="BA2" s="165"/>
      <c r="BB2" s="165"/>
      <c r="BC2" s="165"/>
      <c r="BD2" s="165"/>
      <c r="BE2" s="165"/>
      <c r="BS2" s="6" t="s">
        <v>6</v>
      </c>
      <c r="BT2" s="6" t="s">
        <v>7</v>
      </c>
    </row>
    <row r="3" spans="2:72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6</v>
      </c>
      <c r="BT3" s="6" t="s">
        <v>8</v>
      </c>
    </row>
    <row r="4" spans="2:71" s="2" customFormat="1" ht="37.5" customHeight="1">
      <c r="B4" s="10"/>
      <c r="C4" s="166" t="s">
        <v>9</v>
      </c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167"/>
      <c r="AB4" s="167"/>
      <c r="AC4" s="167"/>
      <c r="AD4" s="167"/>
      <c r="AE4" s="167"/>
      <c r="AF4" s="167"/>
      <c r="AG4" s="167"/>
      <c r="AH4" s="167"/>
      <c r="AI4" s="167"/>
      <c r="AJ4" s="167"/>
      <c r="AK4" s="167"/>
      <c r="AL4" s="167"/>
      <c r="AM4" s="167"/>
      <c r="AN4" s="167"/>
      <c r="AO4" s="167"/>
      <c r="AP4" s="167"/>
      <c r="AQ4" s="12"/>
      <c r="AS4" s="13" t="s">
        <v>10</v>
      </c>
      <c r="BE4" s="14" t="s">
        <v>11</v>
      </c>
      <c r="BS4" s="6" t="s">
        <v>12</v>
      </c>
    </row>
    <row r="5" spans="2:71" s="2" customFormat="1" ht="7.5" customHeight="1"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2"/>
      <c r="BE5" s="168" t="s">
        <v>13</v>
      </c>
      <c r="BS5" s="6" t="s">
        <v>6</v>
      </c>
    </row>
    <row r="6" spans="2:71" s="2" customFormat="1" ht="26.25" customHeight="1">
      <c r="B6" s="10"/>
      <c r="C6" s="11"/>
      <c r="D6" s="15" t="s">
        <v>14</v>
      </c>
      <c r="E6" s="11"/>
      <c r="F6" s="11"/>
      <c r="G6" s="11"/>
      <c r="H6" s="11"/>
      <c r="I6" s="11"/>
      <c r="J6" s="11"/>
      <c r="K6" s="171" t="s">
        <v>15</v>
      </c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167"/>
      <c r="Y6" s="167"/>
      <c r="Z6" s="167"/>
      <c r="AA6" s="167"/>
      <c r="AB6" s="167"/>
      <c r="AC6" s="167"/>
      <c r="AD6" s="167"/>
      <c r="AE6" s="167"/>
      <c r="AF6" s="167"/>
      <c r="AG6" s="167"/>
      <c r="AH6" s="167"/>
      <c r="AI6" s="167"/>
      <c r="AJ6" s="167"/>
      <c r="AK6" s="167"/>
      <c r="AL6" s="167"/>
      <c r="AM6" s="167"/>
      <c r="AN6" s="167"/>
      <c r="AO6" s="167"/>
      <c r="AP6" s="11"/>
      <c r="AQ6" s="12"/>
      <c r="BE6" s="165"/>
      <c r="BS6" s="6" t="s">
        <v>16</v>
      </c>
    </row>
    <row r="7" spans="2:71" s="2" customFormat="1" ht="7.5" customHeight="1">
      <c r="B7" s="10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2"/>
      <c r="BE7" s="165"/>
      <c r="BS7" s="6" t="s">
        <v>17</v>
      </c>
    </row>
    <row r="8" spans="2:71" s="2" customFormat="1" ht="15" customHeight="1">
      <c r="B8" s="10"/>
      <c r="C8" s="11"/>
      <c r="D8" s="16" t="s">
        <v>18</v>
      </c>
      <c r="E8" s="11"/>
      <c r="F8" s="11"/>
      <c r="G8" s="11"/>
      <c r="H8" s="11"/>
      <c r="I8" s="11"/>
      <c r="J8" s="11"/>
      <c r="K8" s="17" t="s">
        <v>19</v>
      </c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6" t="s">
        <v>20</v>
      </c>
      <c r="AL8" s="11"/>
      <c r="AM8" s="11"/>
      <c r="AN8" s="18" t="s">
        <v>21</v>
      </c>
      <c r="AO8" s="11"/>
      <c r="AP8" s="11"/>
      <c r="AQ8" s="12"/>
      <c r="BE8" s="165"/>
      <c r="BS8" s="6" t="s">
        <v>22</v>
      </c>
    </row>
    <row r="9" spans="2:71" s="2" customFormat="1" ht="15" customHeight="1">
      <c r="B9" s="10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2"/>
      <c r="BE9" s="165"/>
      <c r="BS9" s="6" t="s">
        <v>23</v>
      </c>
    </row>
    <row r="10" spans="2:71" s="2" customFormat="1" ht="15" customHeight="1">
      <c r="B10" s="10"/>
      <c r="C10" s="11"/>
      <c r="D10" s="16" t="s">
        <v>24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6" t="s">
        <v>25</v>
      </c>
      <c r="AL10" s="11"/>
      <c r="AM10" s="11"/>
      <c r="AN10" s="17"/>
      <c r="AO10" s="11"/>
      <c r="AP10" s="11"/>
      <c r="AQ10" s="12"/>
      <c r="BE10" s="165"/>
      <c r="BS10" s="6" t="s">
        <v>16</v>
      </c>
    </row>
    <row r="11" spans="2:71" s="2" customFormat="1" ht="19.5" customHeight="1">
      <c r="B11" s="10"/>
      <c r="C11" s="11"/>
      <c r="D11" s="11"/>
      <c r="E11" s="17" t="s">
        <v>26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6" t="s">
        <v>27</v>
      </c>
      <c r="AL11" s="11"/>
      <c r="AM11" s="11"/>
      <c r="AN11" s="17"/>
      <c r="AO11" s="11"/>
      <c r="AP11" s="11"/>
      <c r="AQ11" s="12"/>
      <c r="BE11" s="165"/>
      <c r="BS11" s="6" t="s">
        <v>16</v>
      </c>
    </row>
    <row r="12" spans="2:71" s="2" customFormat="1" ht="7.5" customHeight="1">
      <c r="B12" s="10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2"/>
      <c r="BE12" s="165"/>
      <c r="BS12" s="6" t="s">
        <v>16</v>
      </c>
    </row>
    <row r="13" spans="2:71" s="2" customFormat="1" ht="15" customHeight="1">
      <c r="B13" s="10"/>
      <c r="C13" s="11"/>
      <c r="D13" s="16" t="s">
        <v>28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6" t="s">
        <v>25</v>
      </c>
      <c r="AL13" s="11"/>
      <c r="AM13" s="11"/>
      <c r="AN13" s="19" t="s">
        <v>29</v>
      </c>
      <c r="AO13" s="11"/>
      <c r="AP13" s="11"/>
      <c r="AQ13" s="12"/>
      <c r="BE13" s="165"/>
      <c r="BS13" s="6" t="s">
        <v>16</v>
      </c>
    </row>
    <row r="14" spans="2:71" s="2" customFormat="1" ht="15.75" customHeight="1">
      <c r="B14" s="10"/>
      <c r="C14" s="11"/>
      <c r="D14" s="11"/>
      <c r="E14" s="172" t="s">
        <v>29</v>
      </c>
      <c r="F14" s="167"/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67"/>
      <c r="T14" s="167"/>
      <c r="U14" s="167"/>
      <c r="V14" s="167"/>
      <c r="W14" s="167"/>
      <c r="X14" s="167"/>
      <c r="Y14" s="167"/>
      <c r="Z14" s="167"/>
      <c r="AA14" s="167"/>
      <c r="AB14" s="167"/>
      <c r="AC14" s="167"/>
      <c r="AD14" s="167"/>
      <c r="AE14" s="167"/>
      <c r="AF14" s="167"/>
      <c r="AG14" s="167"/>
      <c r="AH14" s="167"/>
      <c r="AI14" s="167"/>
      <c r="AJ14" s="167"/>
      <c r="AK14" s="16" t="s">
        <v>27</v>
      </c>
      <c r="AL14" s="11"/>
      <c r="AM14" s="11"/>
      <c r="AN14" s="19" t="s">
        <v>29</v>
      </c>
      <c r="AO14" s="11"/>
      <c r="AP14" s="11"/>
      <c r="AQ14" s="12"/>
      <c r="BE14" s="165"/>
      <c r="BS14" s="6" t="s">
        <v>16</v>
      </c>
    </row>
    <row r="15" spans="2:71" s="2" customFormat="1" ht="7.5" customHeight="1"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2"/>
      <c r="BE15" s="165"/>
      <c r="BS15" s="6" t="s">
        <v>3</v>
      </c>
    </row>
    <row r="16" spans="2:71" s="2" customFormat="1" ht="15" customHeight="1">
      <c r="B16" s="10"/>
      <c r="C16" s="11"/>
      <c r="D16" s="16" t="s">
        <v>30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6" t="s">
        <v>25</v>
      </c>
      <c r="AL16" s="11"/>
      <c r="AM16" s="11"/>
      <c r="AN16" s="17"/>
      <c r="AO16" s="11"/>
      <c r="AP16" s="11"/>
      <c r="AQ16" s="12"/>
      <c r="BE16" s="165"/>
      <c r="BS16" s="6" t="s">
        <v>3</v>
      </c>
    </row>
    <row r="17" spans="2:71" s="2" customFormat="1" ht="19.5" customHeight="1">
      <c r="B17" s="10"/>
      <c r="C17" s="11"/>
      <c r="D17" s="11"/>
      <c r="E17" s="17" t="s">
        <v>31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6" t="s">
        <v>27</v>
      </c>
      <c r="AL17" s="11"/>
      <c r="AM17" s="11"/>
      <c r="AN17" s="17"/>
      <c r="AO17" s="11"/>
      <c r="AP17" s="11"/>
      <c r="AQ17" s="12"/>
      <c r="BE17" s="165"/>
      <c r="BS17" s="6" t="s">
        <v>32</v>
      </c>
    </row>
    <row r="18" spans="2:71" s="2" customFormat="1" ht="7.5" customHeight="1">
      <c r="B18" s="10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2"/>
      <c r="BE18" s="165"/>
      <c r="BS18" s="6" t="s">
        <v>6</v>
      </c>
    </row>
    <row r="19" spans="2:71" s="2" customFormat="1" ht="15" customHeight="1">
      <c r="B19" s="10"/>
      <c r="C19" s="11"/>
      <c r="D19" s="16" t="s">
        <v>33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6" t="s">
        <v>25</v>
      </c>
      <c r="AL19" s="11"/>
      <c r="AM19" s="11"/>
      <c r="AN19" s="17"/>
      <c r="AO19" s="11"/>
      <c r="AP19" s="11"/>
      <c r="AQ19" s="12"/>
      <c r="BE19" s="165"/>
      <c r="BS19" s="6" t="s">
        <v>16</v>
      </c>
    </row>
    <row r="20" spans="2:57" s="2" customFormat="1" ht="19.5" customHeight="1">
      <c r="B20" s="10"/>
      <c r="C20" s="11"/>
      <c r="D20" s="11"/>
      <c r="E20" s="17" t="s">
        <v>19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6" t="s">
        <v>27</v>
      </c>
      <c r="AL20" s="11"/>
      <c r="AM20" s="11"/>
      <c r="AN20" s="17"/>
      <c r="AO20" s="11"/>
      <c r="AP20" s="11"/>
      <c r="AQ20" s="12"/>
      <c r="BE20" s="165"/>
    </row>
    <row r="21" spans="2:57" s="2" customFormat="1" ht="7.5" customHeight="1">
      <c r="B21" s="10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2"/>
      <c r="BE21" s="165"/>
    </row>
    <row r="22" spans="2:57" s="2" customFormat="1" ht="7.5" customHeight="1">
      <c r="B22" s="10"/>
      <c r="C22" s="11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11"/>
      <c r="AQ22" s="12"/>
      <c r="BE22" s="165"/>
    </row>
    <row r="23" spans="2:57" s="2" customFormat="1" ht="15" customHeight="1">
      <c r="B23" s="10"/>
      <c r="C23" s="11"/>
      <c r="D23" s="21" t="s">
        <v>34</v>
      </c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73">
        <f>ROUNDUP($AG$87,2)</f>
        <v>0</v>
      </c>
      <c r="AL23" s="167"/>
      <c r="AM23" s="167"/>
      <c r="AN23" s="167"/>
      <c r="AO23" s="167"/>
      <c r="AP23" s="11"/>
      <c r="AQ23" s="12"/>
      <c r="BE23" s="165"/>
    </row>
    <row r="24" spans="2:57" s="2" customFormat="1" ht="15" customHeight="1">
      <c r="B24" s="10"/>
      <c r="C24" s="11"/>
      <c r="D24" s="21" t="s">
        <v>35</v>
      </c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73">
        <f>ROUNDUP($AG$91,2)</f>
        <v>0</v>
      </c>
      <c r="AL24" s="167"/>
      <c r="AM24" s="167"/>
      <c r="AN24" s="167"/>
      <c r="AO24" s="167"/>
      <c r="AP24" s="11"/>
      <c r="AQ24" s="12"/>
      <c r="BE24" s="165"/>
    </row>
    <row r="25" spans="2:57" s="6" customFormat="1" ht="7.5" customHeight="1">
      <c r="B25" s="2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4"/>
      <c r="BE25" s="169"/>
    </row>
    <row r="26" spans="2:57" s="6" customFormat="1" ht="27" customHeight="1">
      <c r="B26" s="22"/>
      <c r="C26" s="23"/>
      <c r="D26" s="25" t="s">
        <v>36</v>
      </c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174">
        <f>ROUNDUP($AK$23+$AK$24,2)</f>
        <v>0</v>
      </c>
      <c r="AL26" s="175"/>
      <c r="AM26" s="175"/>
      <c r="AN26" s="175"/>
      <c r="AO26" s="175"/>
      <c r="AP26" s="23"/>
      <c r="AQ26" s="24"/>
      <c r="BE26" s="169"/>
    </row>
    <row r="27" spans="2:57" s="6" customFormat="1" ht="7.5" customHeight="1">
      <c r="B27" s="22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4"/>
      <c r="BE27" s="169"/>
    </row>
    <row r="28" spans="2:57" s="6" customFormat="1" ht="15" customHeight="1">
      <c r="B28" s="27"/>
      <c r="C28" s="28"/>
      <c r="D28" s="28" t="s">
        <v>37</v>
      </c>
      <c r="E28" s="28"/>
      <c r="F28" s="28" t="s">
        <v>38</v>
      </c>
      <c r="G28" s="28"/>
      <c r="H28" s="28"/>
      <c r="I28" s="28"/>
      <c r="J28" s="28"/>
      <c r="K28" s="28"/>
      <c r="L28" s="176">
        <v>0.21</v>
      </c>
      <c r="M28" s="177"/>
      <c r="N28" s="177"/>
      <c r="O28" s="177"/>
      <c r="P28" s="28"/>
      <c r="Q28" s="28"/>
      <c r="R28" s="28"/>
      <c r="S28" s="28"/>
      <c r="T28" s="30" t="s">
        <v>39</v>
      </c>
      <c r="U28" s="28"/>
      <c r="V28" s="28"/>
      <c r="W28" s="178">
        <f>ROUNDUP($AZ$87+SUM($CD$92:$CD$105),2)</f>
        <v>0</v>
      </c>
      <c r="X28" s="177"/>
      <c r="Y28" s="177"/>
      <c r="Z28" s="177"/>
      <c r="AA28" s="177"/>
      <c r="AB28" s="177"/>
      <c r="AC28" s="177"/>
      <c r="AD28" s="177"/>
      <c r="AE28" s="177"/>
      <c r="AF28" s="28"/>
      <c r="AG28" s="28"/>
      <c r="AH28" s="28"/>
      <c r="AI28" s="28"/>
      <c r="AJ28" s="28"/>
      <c r="AK28" s="178">
        <f>ROUNDUP($AV$87+SUM($BY$92:$BY$105),1)</f>
        <v>0</v>
      </c>
      <c r="AL28" s="177"/>
      <c r="AM28" s="177"/>
      <c r="AN28" s="177"/>
      <c r="AO28" s="177"/>
      <c r="AP28" s="28"/>
      <c r="AQ28" s="31"/>
      <c r="BE28" s="170"/>
    </row>
    <row r="29" spans="2:57" s="6" customFormat="1" ht="15" customHeight="1">
      <c r="B29" s="27"/>
      <c r="C29" s="28"/>
      <c r="D29" s="28"/>
      <c r="E29" s="28"/>
      <c r="F29" s="28" t="s">
        <v>40</v>
      </c>
      <c r="G29" s="28"/>
      <c r="H29" s="28"/>
      <c r="I29" s="28"/>
      <c r="J29" s="28"/>
      <c r="K29" s="28"/>
      <c r="L29" s="176">
        <v>0.15</v>
      </c>
      <c r="M29" s="177"/>
      <c r="N29" s="177"/>
      <c r="O29" s="177"/>
      <c r="P29" s="28"/>
      <c r="Q29" s="28"/>
      <c r="R29" s="28"/>
      <c r="S29" s="28"/>
      <c r="T29" s="30" t="s">
        <v>39</v>
      </c>
      <c r="U29" s="28"/>
      <c r="V29" s="28"/>
      <c r="W29" s="178">
        <f>ROUNDUP($BA$87+SUM($CE$92:$CE$105),2)</f>
        <v>0</v>
      </c>
      <c r="X29" s="177"/>
      <c r="Y29" s="177"/>
      <c r="Z29" s="177"/>
      <c r="AA29" s="177"/>
      <c r="AB29" s="177"/>
      <c r="AC29" s="177"/>
      <c r="AD29" s="177"/>
      <c r="AE29" s="177"/>
      <c r="AF29" s="28"/>
      <c r="AG29" s="28"/>
      <c r="AH29" s="28"/>
      <c r="AI29" s="28"/>
      <c r="AJ29" s="28"/>
      <c r="AK29" s="178">
        <f>ROUNDUP($AW$87+SUM($BZ$92:$BZ$105),1)</f>
        <v>0</v>
      </c>
      <c r="AL29" s="177"/>
      <c r="AM29" s="177"/>
      <c r="AN29" s="177"/>
      <c r="AO29" s="177"/>
      <c r="AP29" s="28"/>
      <c r="AQ29" s="31"/>
      <c r="BE29" s="170"/>
    </row>
    <row r="30" spans="2:57" s="6" customFormat="1" ht="15" customHeight="1" hidden="1">
      <c r="B30" s="27"/>
      <c r="C30" s="28"/>
      <c r="D30" s="28"/>
      <c r="E30" s="28"/>
      <c r="F30" s="28" t="s">
        <v>41</v>
      </c>
      <c r="G30" s="28"/>
      <c r="H30" s="28"/>
      <c r="I30" s="28"/>
      <c r="J30" s="28"/>
      <c r="K30" s="28"/>
      <c r="L30" s="176">
        <v>0.21</v>
      </c>
      <c r="M30" s="177"/>
      <c r="N30" s="177"/>
      <c r="O30" s="177"/>
      <c r="P30" s="28"/>
      <c r="Q30" s="28"/>
      <c r="R30" s="28"/>
      <c r="S30" s="28"/>
      <c r="T30" s="30" t="s">
        <v>39</v>
      </c>
      <c r="U30" s="28"/>
      <c r="V30" s="28"/>
      <c r="W30" s="178">
        <f>ROUNDUP($BB$87+SUM($CF$92:$CF$105),2)</f>
        <v>0</v>
      </c>
      <c r="X30" s="177"/>
      <c r="Y30" s="177"/>
      <c r="Z30" s="177"/>
      <c r="AA30" s="177"/>
      <c r="AB30" s="177"/>
      <c r="AC30" s="177"/>
      <c r="AD30" s="177"/>
      <c r="AE30" s="177"/>
      <c r="AF30" s="28"/>
      <c r="AG30" s="28"/>
      <c r="AH30" s="28"/>
      <c r="AI30" s="28"/>
      <c r="AJ30" s="28"/>
      <c r="AK30" s="178">
        <v>0</v>
      </c>
      <c r="AL30" s="177"/>
      <c r="AM30" s="177"/>
      <c r="AN30" s="177"/>
      <c r="AO30" s="177"/>
      <c r="AP30" s="28"/>
      <c r="AQ30" s="31"/>
      <c r="BE30" s="170"/>
    </row>
    <row r="31" spans="2:57" s="6" customFormat="1" ht="15" customHeight="1" hidden="1">
      <c r="B31" s="27"/>
      <c r="C31" s="28"/>
      <c r="D31" s="28"/>
      <c r="E31" s="28"/>
      <c r="F31" s="28" t="s">
        <v>42</v>
      </c>
      <c r="G31" s="28"/>
      <c r="H31" s="28"/>
      <c r="I31" s="28"/>
      <c r="J31" s="28"/>
      <c r="K31" s="28"/>
      <c r="L31" s="176">
        <v>0.15</v>
      </c>
      <c r="M31" s="177"/>
      <c r="N31" s="177"/>
      <c r="O31" s="177"/>
      <c r="P31" s="28"/>
      <c r="Q31" s="28"/>
      <c r="R31" s="28"/>
      <c r="S31" s="28"/>
      <c r="T31" s="30" t="s">
        <v>39</v>
      </c>
      <c r="U31" s="28"/>
      <c r="V31" s="28"/>
      <c r="W31" s="178">
        <f>ROUNDUP($BC$87+SUM($CG$92:$CG$105),2)</f>
        <v>0</v>
      </c>
      <c r="X31" s="177"/>
      <c r="Y31" s="177"/>
      <c r="Z31" s="177"/>
      <c r="AA31" s="177"/>
      <c r="AB31" s="177"/>
      <c r="AC31" s="177"/>
      <c r="AD31" s="177"/>
      <c r="AE31" s="177"/>
      <c r="AF31" s="28"/>
      <c r="AG31" s="28"/>
      <c r="AH31" s="28"/>
      <c r="AI31" s="28"/>
      <c r="AJ31" s="28"/>
      <c r="AK31" s="178">
        <v>0</v>
      </c>
      <c r="AL31" s="177"/>
      <c r="AM31" s="177"/>
      <c r="AN31" s="177"/>
      <c r="AO31" s="177"/>
      <c r="AP31" s="28"/>
      <c r="AQ31" s="31"/>
      <c r="BE31" s="170"/>
    </row>
    <row r="32" spans="2:57" s="6" customFormat="1" ht="15" customHeight="1" hidden="1">
      <c r="B32" s="27"/>
      <c r="C32" s="28"/>
      <c r="D32" s="28"/>
      <c r="E32" s="28"/>
      <c r="F32" s="28" t="s">
        <v>43</v>
      </c>
      <c r="G32" s="28"/>
      <c r="H32" s="28"/>
      <c r="I32" s="28"/>
      <c r="J32" s="28"/>
      <c r="K32" s="28"/>
      <c r="L32" s="176">
        <v>0</v>
      </c>
      <c r="M32" s="177"/>
      <c r="N32" s="177"/>
      <c r="O32" s="177"/>
      <c r="P32" s="28"/>
      <c r="Q32" s="28"/>
      <c r="R32" s="28"/>
      <c r="S32" s="28"/>
      <c r="T32" s="30" t="s">
        <v>39</v>
      </c>
      <c r="U32" s="28"/>
      <c r="V32" s="28"/>
      <c r="W32" s="178">
        <f>ROUNDUP($BD$87+SUM($CH$92:$CH$105),2)</f>
        <v>0</v>
      </c>
      <c r="X32" s="177"/>
      <c r="Y32" s="177"/>
      <c r="Z32" s="177"/>
      <c r="AA32" s="177"/>
      <c r="AB32" s="177"/>
      <c r="AC32" s="177"/>
      <c r="AD32" s="177"/>
      <c r="AE32" s="177"/>
      <c r="AF32" s="28"/>
      <c r="AG32" s="28"/>
      <c r="AH32" s="28"/>
      <c r="AI32" s="28"/>
      <c r="AJ32" s="28"/>
      <c r="AK32" s="178">
        <v>0</v>
      </c>
      <c r="AL32" s="177"/>
      <c r="AM32" s="177"/>
      <c r="AN32" s="177"/>
      <c r="AO32" s="177"/>
      <c r="AP32" s="28"/>
      <c r="AQ32" s="31"/>
      <c r="BE32" s="170"/>
    </row>
    <row r="33" spans="2:57" s="6" customFormat="1" ht="7.5" customHeight="1">
      <c r="B33" s="22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4"/>
      <c r="BE33" s="169"/>
    </row>
    <row r="34" spans="2:57" s="6" customFormat="1" ht="27" customHeight="1">
      <c r="B34" s="22"/>
      <c r="C34" s="32"/>
      <c r="D34" s="33" t="s">
        <v>44</v>
      </c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5" t="s">
        <v>45</v>
      </c>
      <c r="U34" s="34"/>
      <c r="V34" s="34"/>
      <c r="W34" s="34"/>
      <c r="X34" s="179" t="s">
        <v>46</v>
      </c>
      <c r="Y34" s="180"/>
      <c r="Z34" s="180"/>
      <c r="AA34" s="180"/>
      <c r="AB34" s="180"/>
      <c r="AC34" s="34"/>
      <c r="AD34" s="34"/>
      <c r="AE34" s="34"/>
      <c r="AF34" s="34"/>
      <c r="AG34" s="34"/>
      <c r="AH34" s="34"/>
      <c r="AI34" s="34"/>
      <c r="AJ34" s="34"/>
      <c r="AK34" s="181">
        <f>ROUNDUP(SUM($AK$26:$AK$32),2)</f>
        <v>0</v>
      </c>
      <c r="AL34" s="180"/>
      <c r="AM34" s="180"/>
      <c r="AN34" s="180"/>
      <c r="AO34" s="182"/>
      <c r="AP34" s="32"/>
      <c r="AQ34" s="24"/>
      <c r="BE34" s="169"/>
    </row>
    <row r="35" spans="2:43" s="6" customFormat="1" ht="15" customHeight="1">
      <c r="B35" s="22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4"/>
    </row>
    <row r="36" spans="2:43" s="2" customFormat="1" ht="14.25" customHeight="1">
      <c r="B36" s="10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2"/>
    </row>
    <row r="37" spans="2:43" s="2" customFormat="1" ht="14.25" customHeight="1">
      <c r="B37" s="10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2"/>
    </row>
    <row r="38" spans="2:43" s="2" customFormat="1" ht="14.25" customHeight="1">
      <c r="B38" s="10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2"/>
    </row>
    <row r="39" spans="2:43" s="2" customFormat="1" ht="14.25" customHeight="1">
      <c r="B39" s="10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2"/>
    </row>
    <row r="40" spans="2:43" s="2" customFormat="1" ht="14.25" customHeight="1">
      <c r="B40" s="10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2"/>
    </row>
    <row r="41" spans="2:43" s="2" customFormat="1" ht="14.25" customHeight="1">
      <c r="B41" s="10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2"/>
    </row>
    <row r="42" spans="2:43" s="2" customFormat="1" ht="14.25" customHeight="1">
      <c r="B42" s="10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2"/>
    </row>
    <row r="43" spans="2:43" s="2" customFormat="1" ht="14.25" customHeight="1">
      <c r="B43" s="10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2"/>
    </row>
    <row r="44" spans="2:43" s="2" customFormat="1" ht="14.25" customHeight="1">
      <c r="B44" s="10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2"/>
    </row>
    <row r="45" spans="2:43" s="2" customFormat="1" ht="14.25" customHeight="1">
      <c r="B45" s="10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2"/>
    </row>
    <row r="46" spans="2:43" s="2" customFormat="1" ht="14.25" customHeight="1">
      <c r="B46" s="10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2"/>
    </row>
    <row r="47" spans="2:43" s="2" customFormat="1" ht="14.25" customHeight="1">
      <c r="B47" s="10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2"/>
    </row>
    <row r="48" spans="2:43" s="2" customFormat="1" ht="14.25" customHeight="1">
      <c r="B48" s="10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2"/>
    </row>
    <row r="49" spans="2:43" s="6" customFormat="1" ht="15.75" customHeight="1">
      <c r="B49" s="22"/>
      <c r="C49" s="23"/>
      <c r="D49" s="36" t="s">
        <v>47</v>
      </c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8"/>
      <c r="AA49" s="23"/>
      <c r="AB49" s="23"/>
      <c r="AC49" s="36" t="s">
        <v>48</v>
      </c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8"/>
      <c r="AP49" s="23"/>
      <c r="AQ49" s="24"/>
    </row>
    <row r="50" spans="2:43" s="2" customFormat="1" ht="14.25" customHeight="1">
      <c r="B50" s="10"/>
      <c r="C50" s="11"/>
      <c r="D50" s="39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40"/>
      <c r="AA50" s="11"/>
      <c r="AB50" s="11"/>
      <c r="AC50" s="39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40"/>
      <c r="AP50" s="11"/>
      <c r="AQ50" s="12"/>
    </row>
    <row r="51" spans="2:43" s="2" customFormat="1" ht="14.25" customHeight="1">
      <c r="B51" s="10"/>
      <c r="C51" s="11"/>
      <c r="D51" s="39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40"/>
      <c r="AA51" s="11"/>
      <c r="AB51" s="11"/>
      <c r="AC51" s="39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40"/>
      <c r="AP51" s="11"/>
      <c r="AQ51" s="12"/>
    </row>
    <row r="52" spans="2:43" s="2" customFormat="1" ht="14.25" customHeight="1">
      <c r="B52" s="10"/>
      <c r="C52" s="11"/>
      <c r="D52" s="39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40"/>
      <c r="AA52" s="11"/>
      <c r="AB52" s="11"/>
      <c r="AC52" s="39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40"/>
      <c r="AP52" s="11"/>
      <c r="AQ52" s="12"/>
    </row>
    <row r="53" spans="2:43" s="2" customFormat="1" ht="14.25" customHeight="1">
      <c r="B53" s="10"/>
      <c r="C53" s="11"/>
      <c r="D53" s="39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40"/>
      <c r="AA53" s="11"/>
      <c r="AB53" s="11"/>
      <c r="AC53" s="39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40"/>
      <c r="AP53" s="11"/>
      <c r="AQ53" s="12"/>
    </row>
    <row r="54" spans="2:43" s="2" customFormat="1" ht="14.25" customHeight="1">
      <c r="B54" s="10"/>
      <c r="C54" s="11"/>
      <c r="D54" s="39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40"/>
      <c r="AA54" s="11"/>
      <c r="AB54" s="11"/>
      <c r="AC54" s="39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40"/>
      <c r="AP54" s="11"/>
      <c r="AQ54" s="12"/>
    </row>
    <row r="55" spans="2:43" s="2" customFormat="1" ht="14.25" customHeight="1">
      <c r="B55" s="10"/>
      <c r="C55" s="11"/>
      <c r="D55" s="39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40"/>
      <c r="AA55" s="11"/>
      <c r="AB55" s="11"/>
      <c r="AC55" s="39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40"/>
      <c r="AP55" s="11"/>
      <c r="AQ55" s="12"/>
    </row>
    <row r="56" spans="2:43" s="2" customFormat="1" ht="14.25" customHeight="1">
      <c r="B56" s="10"/>
      <c r="C56" s="11"/>
      <c r="D56" s="39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40"/>
      <c r="AA56" s="11"/>
      <c r="AB56" s="11"/>
      <c r="AC56" s="39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40"/>
      <c r="AP56" s="11"/>
      <c r="AQ56" s="12"/>
    </row>
    <row r="57" spans="2:43" s="2" customFormat="1" ht="14.25" customHeight="1">
      <c r="B57" s="10"/>
      <c r="C57" s="11"/>
      <c r="D57" s="39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40"/>
      <c r="AA57" s="11"/>
      <c r="AB57" s="11"/>
      <c r="AC57" s="39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40"/>
      <c r="AP57" s="11"/>
      <c r="AQ57" s="12"/>
    </row>
    <row r="58" spans="2:43" s="6" customFormat="1" ht="15.75" customHeight="1">
      <c r="B58" s="22"/>
      <c r="C58" s="23"/>
      <c r="D58" s="41" t="s">
        <v>49</v>
      </c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3" t="s">
        <v>50</v>
      </c>
      <c r="S58" s="42"/>
      <c r="T58" s="42"/>
      <c r="U58" s="42"/>
      <c r="V58" s="42"/>
      <c r="W58" s="42"/>
      <c r="X58" s="42"/>
      <c r="Y58" s="42"/>
      <c r="Z58" s="44"/>
      <c r="AA58" s="23"/>
      <c r="AB58" s="23"/>
      <c r="AC58" s="41" t="s">
        <v>49</v>
      </c>
      <c r="AD58" s="42"/>
      <c r="AE58" s="42"/>
      <c r="AF58" s="42"/>
      <c r="AG58" s="42"/>
      <c r="AH58" s="42"/>
      <c r="AI58" s="42"/>
      <c r="AJ58" s="42"/>
      <c r="AK58" s="42"/>
      <c r="AL58" s="42"/>
      <c r="AM58" s="43" t="s">
        <v>50</v>
      </c>
      <c r="AN58" s="42"/>
      <c r="AO58" s="44"/>
      <c r="AP58" s="23"/>
      <c r="AQ58" s="24"/>
    </row>
    <row r="59" spans="2:43" s="2" customFormat="1" ht="14.25" customHeight="1">
      <c r="B59" s="10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2"/>
    </row>
    <row r="60" spans="2:43" s="6" customFormat="1" ht="15.75" customHeight="1">
      <c r="B60" s="22"/>
      <c r="C60" s="23"/>
      <c r="D60" s="36" t="s">
        <v>51</v>
      </c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8"/>
      <c r="AA60" s="23"/>
      <c r="AB60" s="23"/>
      <c r="AC60" s="36" t="s">
        <v>52</v>
      </c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8"/>
      <c r="AP60" s="23"/>
      <c r="AQ60" s="24"/>
    </row>
    <row r="61" spans="2:43" s="2" customFormat="1" ht="14.25" customHeight="1">
      <c r="B61" s="10"/>
      <c r="C61" s="11"/>
      <c r="D61" s="39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40"/>
      <c r="AA61" s="11"/>
      <c r="AB61" s="11"/>
      <c r="AC61" s="39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40"/>
      <c r="AP61" s="11"/>
      <c r="AQ61" s="12"/>
    </row>
    <row r="62" spans="2:43" s="2" customFormat="1" ht="14.25" customHeight="1">
      <c r="B62" s="10"/>
      <c r="C62" s="11"/>
      <c r="D62" s="39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40"/>
      <c r="AA62" s="11"/>
      <c r="AB62" s="11"/>
      <c r="AC62" s="39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40"/>
      <c r="AP62" s="11"/>
      <c r="AQ62" s="12"/>
    </row>
    <row r="63" spans="2:43" s="2" customFormat="1" ht="14.25" customHeight="1">
      <c r="B63" s="10"/>
      <c r="C63" s="11"/>
      <c r="D63" s="39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40"/>
      <c r="AA63" s="11"/>
      <c r="AB63" s="11"/>
      <c r="AC63" s="39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40"/>
      <c r="AP63" s="11"/>
      <c r="AQ63" s="12"/>
    </row>
    <row r="64" spans="2:43" s="2" customFormat="1" ht="14.25" customHeight="1">
      <c r="B64" s="10"/>
      <c r="C64" s="11"/>
      <c r="D64" s="39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40"/>
      <c r="AA64" s="11"/>
      <c r="AB64" s="11"/>
      <c r="AC64" s="39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40"/>
      <c r="AP64" s="11"/>
      <c r="AQ64" s="12"/>
    </row>
    <row r="65" spans="2:43" s="2" customFormat="1" ht="14.25" customHeight="1">
      <c r="B65" s="10"/>
      <c r="C65" s="11"/>
      <c r="D65" s="39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40"/>
      <c r="AA65" s="11"/>
      <c r="AB65" s="11"/>
      <c r="AC65" s="39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40"/>
      <c r="AP65" s="11"/>
      <c r="AQ65" s="12"/>
    </row>
    <row r="66" spans="2:43" s="2" customFormat="1" ht="14.25" customHeight="1">
      <c r="B66" s="10"/>
      <c r="C66" s="11"/>
      <c r="D66" s="39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40"/>
      <c r="AA66" s="11"/>
      <c r="AB66" s="11"/>
      <c r="AC66" s="39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40"/>
      <c r="AP66" s="11"/>
      <c r="AQ66" s="12"/>
    </row>
    <row r="67" spans="2:43" s="2" customFormat="1" ht="14.25" customHeight="1">
      <c r="B67" s="10"/>
      <c r="C67" s="11"/>
      <c r="D67" s="39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40"/>
      <c r="AA67" s="11"/>
      <c r="AB67" s="11"/>
      <c r="AC67" s="39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40"/>
      <c r="AP67" s="11"/>
      <c r="AQ67" s="12"/>
    </row>
    <row r="68" spans="2:43" s="2" customFormat="1" ht="14.25" customHeight="1">
      <c r="B68" s="10"/>
      <c r="C68" s="11"/>
      <c r="D68" s="39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40"/>
      <c r="AA68" s="11"/>
      <c r="AB68" s="11"/>
      <c r="AC68" s="39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40"/>
      <c r="AP68" s="11"/>
      <c r="AQ68" s="12"/>
    </row>
    <row r="69" spans="2:43" s="6" customFormat="1" ht="15.75" customHeight="1">
      <c r="B69" s="22"/>
      <c r="C69" s="23"/>
      <c r="D69" s="41" t="s">
        <v>49</v>
      </c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3" t="s">
        <v>50</v>
      </c>
      <c r="S69" s="42"/>
      <c r="T69" s="42"/>
      <c r="U69" s="42"/>
      <c r="V69" s="42"/>
      <c r="W69" s="42"/>
      <c r="X69" s="42"/>
      <c r="Y69" s="42"/>
      <c r="Z69" s="44"/>
      <c r="AA69" s="23"/>
      <c r="AB69" s="23"/>
      <c r="AC69" s="41" t="s">
        <v>49</v>
      </c>
      <c r="AD69" s="42"/>
      <c r="AE69" s="42"/>
      <c r="AF69" s="42"/>
      <c r="AG69" s="42"/>
      <c r="AH69" s="42"/>
      <c r="AI69" s="42"/>
      <c r="AJ69" s="42"/>
      <c r="AK69" s="42"/>
      <c r="AL69" s="42"/>
      <c r="AM69" s="43" t="s">
        <v>50</v>
      </c>
      <c r="AN69" s="42"/>
      <c r="AO69" s="44"/>
      <c r="AP69" s="23"/>
      <c r="AQ69" s="24"/>
    </row>
    <row r="70" spans="2:43" s="6" customFormat="1" ht="7.5" customHeight="1">
      <c r="B70" s="22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4"/>
    </row>
    <row r="71" spans="2:43" s="6" customFormat="1" ht="7.5" customHeight="1">
      <c r="B71" s="45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7"/>
    </row>
    <row r="75" spans="2:43" s="6" customFormat="1" ht="7.5" customHeight="1">
      <c r="B75" s="48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9"/>
      <c r="AJ75" s="49"/>
      <c r="AK75" s="49"/>
      <c r="AL75" s="49"/>
      <c r="AM75" s="49"/>
      <c r="AN75" s="49"/>
      <c r="AO75" s="49"/>
      <c r="AP75" s="49"/>
      <c r="AQ75" s="50"/>
    </row>
    <row r="76" spans="2:43" s="6" customFormat="1" ht="37.5" customHeight="1">
      <c r="B76" s="22"/>
      <c r="C76" s="166" t="s">
        <v>53</v>
      </c>
      <c r="D76" s="183"/>
      <c r="E76" s="183"/>
      <c r="F76" s="183"/>
      <c r="G76" s="183"/>
      <c r="H76" s="183"/>
      <c r="I76" s="183"/>
      <c r="J76" s="183"/>
      <c r="K76" s="183"/>
      <c r="L76" s="183"/>
      <c r="M76" s="183"/>
      <c r="N76" s="183"/>
      <c r="O76" s="183"/>
      <c r="P76" s="183"/>
      <c r="Q76" s="183"/>
      <c r="R76" s="183"/>
      <c r="S76" s="183"/>
      <c r="T76" s="183"/>
      <c r="U76" s="183"/>
      <c r="V76" s="183"/>
      <c r="W76" s="183"/>
      <c r="X76" s="183"/>
      <c r="Y76" s="183"/>
      <c r="Z76" s="183"/>
      <c r="AA76" s="183"/>
      <c r="AB76" s="183"/>
      <c r="AC76" s="183"/>
      <c r="AD76" s="183"/>
      <c r="AE76" s="183"/>
      <c r="AF76" s="183"/>
      <c r="AG76" s="183"/>
      <c r="AH76" s="183"/>
      <c r="AI76" s="183"/>
      <c r="AJ76" s="183"/>
      <c r="AK76" s="183"/>
      <c r="AL76" s="183"/>
      <c r="AM76" s="183"/>
      <c r="AN76" s="183"/>
      <c r="AO76" s="183"/>
      <c r="AP76" s="183"/>
      <c r="AQ76" s="24"/>
    </row>
    <row r="77" spans="2:43" s="6" customFormat="1" ht="7.5" customHeight="1">
      <c r="B77" s="22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4"/>
    </row>
    <row r="78" spans="2:43" s="51" customFormat="1" ht="27" customHeight="1">
      <c r="B78" s="52"/>
      <c r="C78" s="15" t="s">
        <v>14</v>
      </c>
      <c r="D78" s="15"/>
      <c r="E78" s="15"/>
      <c r="F78" s="15"/>
      <c r="G78" s="15"/>
      <c r="H78" s="15"/>
      <c r="I78" s="15"/>
      <c r="J78" s="15"/>
      <c r="K78" s="15"/>
      <c r="L78" s="171" t="str">
        <f>$K$6</f>
        <v>0251-15 - Podkrušnohorská nemocnice následné péče, ul.Podkrušnohorská 638, litvínov - stavební úpravy v 1.N.P.</v>
      </c>
      <c r="M78" s="171"/>
      <c r="N78" s="171"/>
      <c r="O78" s="171"/>
      <c r="P78" s="171"/>
      <c r="Q78" s="171"/>
      <c r="R78" s="171"/>
      <c r="S78" s="171"/>
      <c r="T78" s="171"/>
      <c r="U78" s="171"/>
      <c r="V78" s="171"/>
      <c r="W78" s="171"/>
      <c r="X78" s="171"/>
      <c r="Y78" s="171"/>
      <c r="Z78" s="171"/>
      <c r="AA78" s="171"/>
      <c r="AB78" s="171"/>
      <c r="AC78" s="171"/>
      <c r="AD78" s="171"/>
      <c r="AE78" s="171"/>
      <c r="AF78" s="171"/>
      <c r="AG78" s="171"/>
      <c r="AH78" s="171"/>
      <c r="AI78" s="171"/>
      <c r="AJ78" s="171"/>
      <c r="AK78" s="171"/>
      <c r="AL78" s="171"/>
      <c r="AM78" s="171"/>
      <c r="AN78" s="171"/>
      <c r="AO78" s="171"/>
      <c r="AP78" s="15"/>
      <c r="AQ78" s="53"/>
    </row>
    <row r="79" spans="2:43" s="6" customFormat="1" ht="7.5" customHeight="1">
      <c r="B79" s="22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4"/>
    </row>
    <row r="80" spans="2:43" s="6" customFormat="1" ht="15.75" customHeight="1">
      <c r="B80" s="22"/>
      <c r="C80" s="16" t="s">
        <v>18</v>
      </c>
      <c r="D80" s="23"/>
      <c r="E80" s="23"/>
      <c r="F80" s="23"/>
      <c r="G80" s="23"/>
      <c r="H80" s="23"/>
      <c r="I80" s="23"/>
      <c r="J80" s="23"/>
      <c r="K80" s="23"/>
      <c r="L80" s="54" t="str">
        <f>IF($K$8="","",$K$8)</f>
        <v> </v>
      </c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16" t="s">
        <v>20</v>
      </c>
      <c r="AJ80" s="23"/>
      <c r="AK80" s="23"/>
      <c r="AL80" s="23"/>
      <c r="AM80" s="55" t="str">
        <f>IF($AN$8="","",$AN$8)</f>
        <v>13.11.2015</v>
      </c>
      <c r="AN80" s="23"/>
      <c r="AO80" s="23"/>
      <c r="AP80" s="23"/>
      <c r="AQ80" s="24"/>
    </row>
    <row r="81" spans="2:43" s="6" customFormat="1" ht="7.5" customHeight="1">
      <c r="B81" s="22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4"/>
    </row>
    <row r="82" spans="2:56" s="6" customFormat="1" ht="18.75" customHeight="1">
      <c r="B82" s="22"/>
      <c r="C82" s="16" t="s">
        <v>24</v>
      </c>
      <c r="D82" s="23"/>
      <c r="E82" s="23"/>
      <c r="F82" s="23"/>
      <c r="G82" s="23"/>
      <c r="H82" s="23"/>
      <c r="I82" s="23"/>
      <c r="J82" s="23"/>
      <c r="K82" s="23"/>
      <c r="L82" s="17" t="str">
        <f>IF($E$11="","",$E$11)</f>
        <v>KPlL s.r.o., ul.Žižkova 151, Litvínov</v>
      </c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16" t="s">
        <v>30</v>
      </c>
      <c r="AJ82" s="23"/>
      <c r="AK82" s="23"/>
      <c r="AL82" s="23"/>
      <c r="AM82" s="184" t="str">
        <f>IF($E$17="","",$E$17)</f>
        <v>VPH s.r.o.</v>
      </c>
      <c r="AN82" s="183"/>
      <c r="AO82" s="183"/>
      <c r="AP82" s="183"/>
      <c r="AQ82" s="24"/>
      <c r="AS82" s="185" t="s">
        <v>54</v>
      </c>
      <c r="AT82" s="186"/>
      <c r="AU82" s="56"/>
      <c r="AV82" s="56"/>
      <c r="AW82" s="56"/>
      <c r="AX82" s="56"/>
      <c r="AY82" s="56"/>
      <c r="AZ82" s="56"/>
      <c r="BA82" s="56"/>
      <c r="BB82" s="56"/>
      <c r="BC82" s="56"/>
      <c r="BD82" s="57"/>
    </row>
    <row r="83" spans="2:56" s="6" customFormat="1" ht="15.75" customHeight="1">
      <c r="B83" s="22"/>
      <c r="C83" s="16" t="s">
        <v>28</v>
      </c>
      <c r="D83" s="23"/>
      <c r="E83" s="23"/>
      <c r="F83" s="23"/>
      <c r="G83" s="23"/>
      <c r="H83" s="23"/>
      <c r="I83" s="23"/>
      <c r="J83" s="23"/>
      <c r="K83" s="23"/>
      <c r="L83" s="17">
        <f>IF($E$14="Vyplň údaj","",$E$14)</f>
      </c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16" t="s">
        <v>33</v>
      </c>
      <c r="AJ83" s="23"/>
      <c r="AK83" s="23"/>
      <c r="AL83" s="23"/>
      <c r="AM83" s="184" t="str">
        <f>IF($E$20="","",$E$20)</f>
        <v> </v>
      </c>
      <c r="AN83" s="183"/>
      <c r="AO83" s="183"/>
      <c r="AP83" s="183"/>
      <c r="AQ83" s="24"/>
      <c r="AS83" s="187"/>
      <c r="AT83" s="169"/>
      <c r="BD83" s="58"/>
    </row>
    <row r="84" spans="2:56" s="6" customFormat="1" ht="12" customHeight="1">
      <c r="B84" s="22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4"/>
      <c r="AS84" s="188"/>
      <c r="AT84" s="183"/>
      <c r="AU84" s="23"/>
      <c r="AV84" s="23"/>
      <c r="AW84" s="23"/>
      <c r="AX84" s="23"/>
      <c r="AY84" s="23"/>
      <c r="AZ84" s="23"/>
      <c r="BA84" s="23"/>
      <c r="BB84" s="23"/>
      <c r="BC84" s="23"/>
      <c r="BD84" s="60"/>
    </row>
    <row r="85" spans="2:57" s="6" customFormat="1" ht="30" customHeight="1">
      <c r="B85" s="22"/>
      <c r="C85" s="189" t="s">
        <v>55</v>
      </c>
      <c r="D85" s="180"/>
      <c r="E85" s="180"/>
      <c r="F85" s="180"/>
      <c r="G85" s="180"/>
      <c r="H85" s="34"/>
      <c r="I85" s="190" t="s">
        <v>56</v>
      </c>
      <c r="J85" s="180"/>
      <c r="K85" s="180"/>
      <c r="L85" s="180"/>
      <c r="M85" s="180"/>
      <c r="N85" s="180"/>
      <c r="O85" s="180"/>
      <c r="P85" s="180"/>
      <c r="Q85" s="180"/>
      <c r="R85" s="180"/>
      <c r="S85" s="180"/>
      <c r="T85" s="180"/>
      <c r="U85" s="180"/>
      <c r="V85" s="180"/>
      <c r="W85" s="180"/>
      <c r="X85" s="180"/>
      <c r="Y85" s="180"/>
      <c r="Z85" s="180"/>
      <c r="AA85" s="180"/>
      <c r="AB85" s="180"/>
      <c r="AC85" s="180"/>
      <c r="AD85" s="180"/>
      <c r="AE85" s="180"/>
      <c r="AF85" s="180"/>
      <c r="AG85" s="190" t="s">
        <v>57</v>
      </c>
      <c r="AH85" s="180"/>
      <c r="AI85" s="180"/>
      <c r="AJ85" s="180"/>
      <c r="AK85" s="180"/>
      <c r="AL85" s="180"/>
      <c r="AM85" s="180"/>
      <c r="AN85" s="190" t="s">
        <v>58</v>
      </c>
      <c r="AO85" s="180"/>
      <c r="AP85" s="182"/>
      <c r="AQ85" s="24"/>
      <c r="AS85" s="61" t="s">
        <v>59</v>
      </c>
      <c r="AT85" s="62" t="s">
        <v>60</v>
      </c>
      <c r="AU85" s="62" t="s">
        <v>61</v>
      </c>
      <c r="AV85" s="62" t="s">
        <v>62</v>
      </c>
      <c r="AW85" s="62" t="s">
        <v>63</v>
      </c>
      <c r="AX85" s="62" t="s">
        <v>64</v>
      </c>
      <c r="AY85" s="62" t="s">
        <v>65</v>
      </c>
      <c r="AZ85" s="62" t="s">
        <v>66</v>
      </c>
      <c r="BA85" s="62" t="s">
        <v>67</v>
      </c>
      <c r="BB85" s="62" t="s">
        <v>68</v>
      </c>
      <c r="BC85" s="62" t="s">
        <v>69</v>
      </c>
      <c r="BD85" s="63" t="s">
        <v>70</v>
      </c>
      <c r="BE85" s="64"/>
    </row>
    <row r="86" spans="2:56" s="6" customFormat="1" ht="12" customHeight="1">
      <c r="B86" s="22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4"/>
      <c r="AS86" s="65"/>
      <c r="AT86" s="37"/>
      <c r="AU86" s="37"/>
      <c r="AV86" s="37"/>
      <c r="AW86" s="37"/>
      <c r="AX86" s="37"/>
      <c r="AY86" s="37"/>
      <c r="AZ86" s="37"/>
      <c r="BA86" s="37"/>
      <c r="BB86" s="37"/>
      <c r="BC86" s="37"/>
      <c r="BD86" s="38"/>
    </row>
    <row r="87" spans="2:76" s="51" customFormat="1" ht="33" customHeight="1">
      <c r="B87" s="52"/>
      <c r="C87" s="66" t="s">
        <v>71</v>
      </c>
      <c r="D87" s="66"/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198">
        <f>ROUNDUP(SUM($AG$88:$AG$89),2)</f>
        <v>0</v>
      </c>
      <c r="AH87" s="199"/>
      <c r="AI87" s="199"/>
      <c r="AJ87" s="199"/>
      <c r="AK87" s="199"/>
      <c r="AL87" s="199"/>
      <c r="AM87" s="199"/>
      <c r="AN87" s="198">
        <f>ROUNDUP(SUM($AG$87,$AT$87),2)</f>
        <v>0</v>
      </c>
      <c r="AO87" s="199"/>
      <c r="AP87" s="199"/>
      <c r="AQ87" s="53"/>
      <c r="AS87" s="67">
        <f>ROUNDUP(SUM($AS$88:$AS$89),2)</f>
        <v>0</v>
      </c>
      <c r="AT87" s="68">
        <f>ROUNDUP(SUM($AV$87:$AW$87),1)</f>
        <v>0</v>
      </c>
      <c r="AU87" s="69">
        <f>ROUNDUP(SUM($AU$88:$AU$89),5)</f>
        <v>1234.72234</v>
      </c>
      <c r="AV87" s="68">
        <f>ROUNDUP($AZ$87*$L$28,2)</f>
        <v>0</v>
      </c>
      <c r="AW87" s="68">
        <f>ROUNDUP($BA$87*$L$29,2)</f>
        <v>0</v>
      </c>
      <c r="AX87" s="68">
        <f>ROUNDUP($BB$87*$L$28,2)</f>
        <v>0</v>
      </c>
      <c r="AY87" s="68">
        <f>ROUNDUP($BC$87*$L$29,2)</f>
        <v>0</v>
      </c>
      <c r="AZ87" s="68">
        <f>ROUNDUP(SUM($AZ$88:$AZ$89),2)</f>
        <v>0</v>
      </c>
      <c r="BA87" s="68">
        <f>ROUNDUP(SUM($BA$88:$BA$89),2)</f>
        <v>0</v>
      </c>
      <c r="BB87" s="68">
        <f>ROUNDUP(SUM($BB$88:$BB$89),2)</f>
        <v>0</v>
      </c>
      <c r="BC87" s="68">
        <f>ROUNDUP(SUM($BC$88:$BC$89),2)</f>
        <v>0</v>
      </c>
      <c r="BD87" s="70">
        <f>ROUNDUP(SUM($BD$88:$BD$89),2)</f>
        <v>0</v>
      </c>
      <c r="BS87" s="51" t="s">
        <v>72</v>
      </c>
      <c r="BT87" s="51" t="s">
        <v>73</v>
      </c>
      <c r="BU87" s="71" t="s">
        <v>74</v>
      </c>
      <c r="BV87" s="51" t="s">
        <v>75</v>
      </c>
      <c r="BW87" s="51" t="s">
        <v>76</v>
      </c>
      <c r="BX87" s="51" t="s">
        <v>77</v>
      </c>
    </row>
    <row r="88" spans="1:76" s="72" customFormat="1" ht="28.5" customHeight="1">
      <c r="A88" s="235" t="s">
        <v>541</v>
      </c>
      <c r="B88" s="73"/>
      <c r="C88" s="74"/>
      <c r="D88" s="193" t="s">
        <v>78</v>
      </c>
      <c r="E88" s="194"/>
      <c r="F88" s="194"/>
      <c r="G88" s="194"/>
      <c r="H88" s="194"/>
      <c r="I88" s="74"/>
      <c r="J88" s="193" t="s">
        <v>79</v>
      </c>
      <c r="K88" s="194"/>
      <c r="L88" s="194"/>
      <c r="M88" s="194"/>
      <c r="N88" s="194"/>
      <c r="O88" s="194"/>
      <c r="P88" s="194"/>
      <c r="Q88" s="194"/>
      <c r="R88" s="194"/>
      <c r="S88" s="194"/>
      <c r="T88" s="194"/>
      <c r="U88" s="194"/>
      <c r="V88" s="194"/>
      <c r="W88" s="194"/>
      <c r="X88" s="194"/>
      <c r="Y88" s="194"/>
      <c r="Z88" s="194"/>
      <c r="AA88" s="194"/>
      <c r="AB88" s="194"/>
      <c r="AC88" s="194"/>
      <c r="AD88" s="194"/>
      <c r="AE88" s="194"/>
      <c r="AF88" s="194"/>
      <c r="AG88" s="191">
        <f>'0251-zti - D.1.4.b - Zdra...'!$M$27</f>
        <v>0</v>
      </c>
      <c r="AH88" s="192"/>
      <c r="AI88" s="192"/>
      <c r="AJ88" s="192"/>
      <c r="AK88" s="192"/>
      <c r="AL88" s="192"/>
      <c r="AM88" s="192"/>
      <c r="AN88" s="191">
        <f>ROUNDUP(SUM($AG$88,$AT$88),2)</f>
        <v>0</v>
      </c>
      <c r="AO88" s="192"/>
      <c r="AP88" s="192"/>
      <c r="AQ88" s="75"/>
      <c r="AS88" s="76">
        <f>'0251-zti - D.1.4.b - Zdra...'!$M$25</f>
        <v>0</v>
      </c>
      <c r="AT88" s="77">
        <f>ROUNDUP(SUM($AV$88:$AW$88),1)</f>
        <v>0</v>
      </c>
      <c r="AU88" s="78">
        <f>'0251-zti - D.1.4.b - Zdra...'!$W$121</f>
        <v>120.79799599999998</v>
      </c>
      <c r="AV88" s="77">
        <f>'0251-zti - D.1.4.b - Zdra...'!$M$29</f>
        <v>0</v>
      </c>
      <c r="AW88" s="77">
        <f>'0251-zti - D.1.4.b - Zdra...'!$M$30</f>
        <v>0</v>
      </c>
      <c r="AX88" s="77">
        <f>'0251-zti - D.1.4.b - Zdra...'!$M$31</f>
        <v>0</v>
      </c>
      <c r="AY88" s="77">
        <f>'0251-zti - D.1.4.b - Zdra...'!$M$32</f>
        <v>0</v>
      </c>
      <c r="AZ88" s="77">
        <f>'0251-zti - D.1.4.b - Zdra...'!$H$29</f>
        <v>0</v>
      </c>
      <c r="BA88" s="77">
        <f>'0251-zti - D.1.4.b - Zdra...'!$H$30</f>
        <v>0</v>
      </c>
      <c r="BB88" s="77">
        <f>'0251-zti - D.1.4.b - Zdra...'!$H$31</f>
        <v>0</v>
      </c>
      <c r="BC88" s="77">
        <f>'0251-zti - D.1.4.b - Zdra...'!$H$32</f>
        <v>0</v>
      </c>
      <c r="BD88" s="79">
        <f>'0251-zti - D.1.4.b - Zdra...'!$H$33</f>
        <v>0</v>
      </c>
      <c r="BT88" s="72" t="s">
        <v>17</v>
      </c>
      <c r="BV88" s="72" t="s">
        <v>75</v>
      </c>
      <c r="BW88" s="72" t="s">
        <v>80</v>
      </c>
      <c r="BX88" s="72" t="s">
        <v>76</v>
      </c>
    </row>
    <row r="89" spans="1:76" s="72" customFormat="1" ht="28.5" customHeight="1">
      <c r="A89" s="235" t="s">
        <v>541</v>
      </c>
      <c r="B89" s="73"/>
      <c r="C89" s="74"/>
      <c r="D89" s="193" t="s">
        <v>81</v>
      </c>
      <c r="E89" s="194"/>
      <c r="F89" s="194"/>
      <c r="G89" s="194"/>
      <c r="H89" s="194"/>
      <c r="I89" s="74"/>
      <c r="J89" s="193" t="s">
        <v>82</v>
      </c>
      <c r="K89" s="194"/>
      <c r="L89" s="194"/>
      <c r="M89" s="194"/>
      <c r="N89" s="194"/>
      <c r="O89" s="194"/>
      <c r="P89" s="194"/>
      <c r="Q89" s="194"/>
      <c r="R89" s="194"/>
      <c r="S89" s="194"/>
      <c r="T89" s="194"/>
      <c r="U89" s="194"/>
      <c r="V89" s="194"/>
      <c r="W89" s="194"/>
      <c r="X89" s="194"/>
      <c r="Y89" s="194"/>
      <c r="Z89" s="194"/>
      <c r="AA89" s="194"/>
      <c r="AB89" s="194"/>
      <c r="AC89" s="194"/>
      <c r="AD89" s="194"/>
      <c r="AE89" s="194"/>
      <c r="AF89" s="194"/>
      <c r="AG89" s="191">
        <f>'stavební - Stavební část'!$M$27</f>
        <v>0</v>
      </c>
      <c r="AH89" s="192"/>
      <c r="AI89" s="192"/>
      <c r="AJ89" s="192"/>
      <c r="AK89" s="192"/>
      <c r="AL89" s="192"/>
      <c r="AM89" s="192"/>
      <c r="AN89" s="191">
        <f>ROUNDUP(SUM($AG$89,$AT$89),2)</f>
        <v>0</v>
      </c>
      <c r="AO89" s="192"/>
      <c r="AP89" s="192"/>
      <c r="AQ89" s="75"/>
      <c r="AS89" s="80">
        <f>'stavební - Stavební část'!$M$25</f>
        <v>0</v>
      </c>
      <c r="AT89" s="81">
        <f>ROUNDUP(SUM($AV$89:$AW$89),1)</f>
        <v>0</v>
      </c>
      <c r="AU89" s="82">
        <f>'stavební - Stavební část'!$W$131</f>
        <v>1113.924342</v>
      </c>
      <c r="AV89" s="81">
        <f>'stavební - Stavební část'!$M$29</f>
        <v>0</v>
      </c>
      <c r="AW89" s="81">
        <f>'stavební - Stavební část'!$M$30</f>
        <v>0</v>
      </c>
      <c r="AX89" s="81">
        <f>'stavební - Stavební část'!$M$31</f>
        <v>0</v>
      </c>
      <c r="AY89" s="81">
        <f>'stavební - Stavební část'!$M$32</f>
        <v>0</v>
      </c>
      <c r="AZ89" s="81">
        <f>'stavební - Stavební část'!$H$29</f>
        <v>0</v>
      </c>
      <c r="BA89" s="81">
        <f>'stavební - Stavební část'!$H$30</f>
        <v>0</v>
      </c>
      <c r="BB89" s="81">
        <f>'stavební - Stavební část'!$H$31</f>
        <v>0</v>
      </c>
      <c r="BC89" s="81">
        <f>'stavební - Stavební část'!$H$32</f>
        <v>0</v>
      </c>
      <c r="BD89" s="83">
        <f>'stavební - Stavební část'!$H$33</f>
        <v>0</v>
      </c>
      <c r="BT89" s="72" t="s">
        <v>17</v>
      </c>
      <c r="BV89" s="72" t="s">
        <v>75</v>
      </c>
      <c r="BW89" s="72" t="s">
        <v>83</v>
      </c>
      <c r="BX89" s="72" t="s">
        <v>76</v>
      </c>
    </row>
    <row r="90" spans="2:43" s="2" customFormat="1" ht="14.25" customHeight="1">
      <c r="B90" s="10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2"/>
    </row>
    <row r="91" spans="2:49" s="6" customFormat="1" ht="30.75" customHeight="1">
      <c r="B91" s="22"/>
      <c r="C91" s="66" t="s">
        <v>84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198">
        <f>ROUNDUP(SUM($AG$92:$AG$104),2)</f>
        <v>0</v>
      </c>
      <c r="AH91" s="183"/>
      <c r="AI91" s="183"/>
      <c r="AJ91" s="183"/>
      <c r="AK91" s="183"/>
      <c r="AL91" s="183"/>
      <c r="AM91" s="183"/>
      <c r="AN91" s="198">
        <f>ROUNDUP(SUM($AN$92:$AN$104),2)</f>
        <v>0</v>
      </c>
      <c r="AO91" s="183"/>
      <c r="AP91" s="183"/>
      <c r="AQ91" s="24"/>
      <c r="AS91" s="61" t="s">
        <v>85</v>
      </c>
      <c r="AT91" s="62" t="s">
        <v>86</v>
      </c>
      <c r="AU91" s="62" t="s">
        <v>37</v>
      </c>
      <c r="AV91" s="63" t="s">
        <v>60</v>
      </c>
      <c r="AW91" s="64"/>
    </row>
    <row r="92" spans="2:89" s="6" customFormat="1" ht="21" customHeight="1">
      <c r="B92" s="22"/>
      <c r="C92" s="23"/>
      <c r="D92" s="84" t="s">
        <v>87</v>
      </c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195">
        <f>ROUNDUP($AG$87*$AS$92,2)</f>
        <v>0</v>
      </c>
      <c r="AH92" s="183"/>
      <c r="AI92" s="183"/>
      <c r="AJ92" s="183"/>
      <c r="AK92" s="183"/>
      <c r="AL92" s="183"/>
      <c r="AM92" s="183"/>
      <c r="AN92" s="196">
        <f>ROUNDUP($AG$92+$AV$92,2)</f>
        <v>0</v>
      </c>
      <c r="AO92" s="183"/>
      <c r="AP92" s="183"/>
      <c r="AQ92" s="24"/>
      <c r="AS92" s="85">
        <v>0</v>
      </c>
      <c r="AT92" s="86" t="s">
        <v>88</v>
      </c>
      <c r="AU92" s="86" t="s">
        <v>38</v>
      </c>
      <c r="AV92" s="87">
        <f>ROUNDUP(IF($AU$92="základní",$AG$92*$L$28,IF($AU$92="snížená",$AG$92*$L$29,0)),2)</f>
        <v>0</v>
      </c>
      <c r="BV92" s="6" t="s">
        <v>89</v>
      </c>
      <c r="BY92" s="88">
        <f>IF($AU$92="základní",$AV$92,0)</f>
        <v>0</v>
      </c>
      <c r="BZ92" s="88">
        <f>IF($AU$92="snížená",$AV$92,0)</f>
        <v>0</v>
      </c>
      <c r="CA92" s="88">
        <v>0</v>
      </c>
      <c r="CB92" s="88">
        <v>0</v>
      </c>
      <c r="CC92" s="88">
        <v>0</v>
      </c>
      <c r="CD92" s="88">
        <f>IF($AU$92="základní",$AG$92,0)</f>
        <v>0</v>
      </c>
      <c r="CE92" s="88">
        <f>IF($AU$92="snížená",$AG$92,0)</f>
        <v>0</v>
      </c>
      <c r="CF92" s="88">
        <f>IF($AU$92="zákl. přenesená",$AG$92,0)</f>
        <v>0</v>
      </c>
      <c r="CG92" s="88">
        <f>IF($AU$92="sníž. přenesená",$AG$92,0)</f>
        <v>0</v>
      </c>
      <c r="CH92" s="88">
        <f>IF($AU$92="nulová",$AG$92,0)</f>
        <v>0</v>
      </c>
      <c r="CI92" s="6">
        <f>IF($AU$92="základní",1,IF($AU$92="snížená",2,IF($AU$92="zákl. přenesená",4,IF($AU$92="sníž. přenesená",5,3))))</f>
        <v>1</v>
      </c>
      <c r="CJ92" s="6">
        <f>IF($AT$92="stavební čast",1,IF(8892="investiční čast",2,3))</f>
        <v>1</v>
      </c>
      <c r="CK92" s="6" t="str">
        <f>IF($D$92="Vyplň vlastní","","x")</f>
        <v>x</v>
      </c>
    </row>
    <row r="93" spans="2:89" s="6" customFormat="1" ht="21" customHeight="1">
      <c r="B93" s="22"/>
      <c r="C93" s="23"/>
      <c r="D93" s="84" t="s">
        <v>90</v>
      </c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195">
        <f>ROUNDUP($AG$87*$AS$93,2)</f>
        <v>0</v>
      </c>
      <c r="AH93" s="183"/>
      <c r="AI93" s="183"/>
      <c r="AJ93" s="183"/>
      <c r="AK93" s="183"/>
      <c r="AL93" s="183"/>
      <c r="AM93" s="183"/>
      <c r="AN93" s="196">
        <f>ROUNDUP($AG$93+$AV$93,2)</f>
        <v>0</v>
      </c>
      <c r="AO93" s="183"/>
      <c r="AP93" s="183"/>
      <c r="AQ93" s="24"/>
      <c r="AS93" s="89">
        <v>0</v>
      </c>
      <c r="AT93" s="90" t="s">
        <v>88</v>
      </c>
      <c r="AU93" s="90" t="s">
        <v>38</v>
      </c>
      <c r="AV93" s="91">
        <f>ROUNDUP(IF($AU$93="základní",$AG$93*$L$28,IF($AU$93="snížená",$AG$93*$L$29,0)),2)</f>
        <v>0</v>
      </c>
      <c r="BV93" s="6" t="s">
        <v>89</v>
      </c>
      <c r="BY93" s="88">
        <f>IF($AU$93="základní",$AV$93,0)</f>
        <v>0</v>
      </c>
      <c r="BZ93" s="88">
        <f>IF($AU$93="snížená",$AV$93,0)</f>
        <v>0</v>
      </c>
      <c r="CA93" s="88">
        <v>0</v>
      </c>
      <c r="CB93" s="88">
        <v>0</v>
      </c>
      <c r="CC93" s="88">
        <v>0</v>
      </c>
      <c r="CD93" s="88">
        <f>IF($AU$93="základní",$AG$93,0)</f>
        <v>0</v>
      </c>
      <c r="CE93" s="88">
        <f>IF($AU$93="snížená",$AG$93,0)</f>
        <v>0</v>
      </c>
      <c r="CF93" s="88">
        <f>IF($AU$93="zákl. přenesená",$AG$93,0)</f>
        <v>0</v>
      </c>
      <c r="CG93" s="88">
        <f>IF($AU$93="sníž. přenesená",$AG$93,0)</f>
        <v>0</v>
      </c>
      <c r="CH93" s="88">
        <f>IF($AU$93="nulová",$AG$93,0)</f>
        <v>0</v>
      </c>
      <c r="CI93" s="6">
        <f>IF($AU$93="základní",1,IF($AU$93="snížená",2,IF($AU$93="zákl. přenesená",4,IF($AU$93="sníž. přenesená",5,3))))</f>
        <v>1</v>
      </c>
      <c r="CJ93" s="6">
        <f>IF($AT$93="stavební čast",1,IF(8893="investiční čast",2,3))</f>
        <v>1</v>
      </c>
      <c r="CK93" s="6" t="str">
        <f>IF($D$93="Vyplň vlastní","","x")</f>
        <v>x</v>
      </c>
    </row>
    <row r="94" spans="2:89" s="6" customFormat="1" ht="21" customHeight="1">
      <c r="B94" s="22"/>
      <c r="C94" s="23"/>
      <c r="D94" s="84" t="s">
        <v>91</v>
      </c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195">
        <f>ROUNDUP($AG$87*$AS$94,2)</f>
        <v>0</v>
      </c>
      <c r="AH94" s="183"/>
      <c r="AI94" s="183"/>
      <c r="AJ94" s="183"/>
      <c r="AK94" s="183"/>
      <c r="AL94" s="183"/>
      <c r="AM94" s="183"/>
      <c r="AN94" s="196">
        <f>ROUNDUP($AG$94+$AV$94,2)</f>
        <v>0</v>
      </c>
      <c r="AO94" s="183"/>
      <c r="AP94" s="183"/>
      <c r="AQ94" s="24"/>
      <c r="AS94" s="89">
        <v>0</v>
      </c>
      <c r="AT94" s="90" t="s">
        <v>88</v>
      </c>
      <c r="AU94" s="90" t="s">
        <v>38</v>
      </c>
      <c r="AV94" s="91">
        <f>ROUNDUP(IF($AU$94="základní",$AG$94*$L$28,IF($AU$94="snížená",$AG$94*$L$29,0)),2)</f>
        <v>0</v>
      </c>
      <c r="BV94" s="6" t="s">
        <v>89</v>
      </c>
      <c r="BY94" s="88">
        <f>IF($AU$94="základní",$AV$94,0)</f>
        <v>0</v>
      </c>
      <c r="BZ94" s="88">
        <f>IF($AU$94="snížená",$AV$94,0)</f>
        <v>0</v>
      </c>
      <c r="CA94" s="88">
        <v>0</v>
      </c>
      <c r="CB94" s="88">
        <v>0</v>
      </c>
      <c r="CC94" s="88">
        <v>0</v>
      </c>
      <c r="CD94" s="88">
        <f>IF($AU$94="základní",$AG$94,0)</f>
        <v>0</v>
      </c>
      <c r="CE94" s="88">
        <f>IF($AU$94="snížená",$AG$94,0)</f>
        <v>0</v>
      </c>
      <c r="CF94" s="88">
        <f>IF($AU$94="zákl. přenesená",$AG$94,0)</f>
        <v>0</v>
      </c>
      <c r="CG94" s="88">
        <f>IF($AU$94="sníž. přenesená",$AG$94,0)</f>
        <v>0</v>
      </c>
      <c r="CH94" s="88">
        <f>IF($AU$94="nulová",$AG$94,0)</f>
        <v>0</v>
      </c>
      <c r="CI94" s="6">
        <f>IF($AU$94="základní",1,IF($AU$94="snížená",2,IF($AU$94="zákl. přenesená",4,IF($AU$94="sníž. přenesená",5,3))))</f>
        <v>1</v>
      </c>
      <c r="CJ94" s="6">
        <f>IF($AT$94="stavební čast",1,IF(8894="investiční čast",2,3))</f>
        <v>1</v>
      </c>
      <c r="CK94" s="6" t="str">
        <f>IF($D$94="Vyplň vlastní","","x")</f>
        <v>x</v>
      </c>
    </row>
    <row r="95" spans="2:89" s="6" customFormat="1" ht="21" customHeight="1">
      <c r="B95" s="22"/>
      <c r="C95" s="23"/>
      <c r="D95" s="84" t="s">
        <v>92</v>
      </c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195">
        <f>ROUNDUP($AG$87*$AS$95,2)</f>
        <v>0</v>
      </c>
      <c r="AH95" s="183"/>
      <c r="AI95" s="183"/>
      <c r="AJ95" s="183"/>
      <c r="AK95" s="183"/>
      <c r="AL95" s="183"/>
      <c r="AM95" s="183"/>
      <c r="AN95" s="196">
        <f>ROUNDUP($AG$95+$AV$95,2)</f>
        <v>0</v>
      </c>
      <c r="AO95" s="183"/>
      <c r="AP95" s="183"/>
      <c r="AQ95" s="24"/>
      <c r="AS95" s="89">
        <v>0</v>
      </c>
      <c r="AT95" s="90" t="s">
        <v>88</v>
      </c>
      <c r="AU95" s="90" t="s">
        <v>38</v>
      </c>
      <c r="AV95" s="91">
        <f>ROUNDUP(IF($AU$95="základní",$AG$95*$L$28,IF($AU$95="snížená",$AG$95*$L$29,0)),2)</f>
        <v>0</v>
      </c>
      <c r="BV95" s="6" t="s">
        <v>89</v>
      </c>
      <c r="BY95" s="88">
        <f>IF($AU$95="základní",$AV$95,0)</f>
        <v>0</v>
      </c>
      <c r="BZ95" s="88">
        <f>IF($AU$95="snížená",$AV$95,0)</f>
        <v>0</v>
      </c>
      <c r="CA95" s="88">
        <v>0</v>
      </c>
      <c r="CB95" s="88">
        <v>0</v>
      </c>
      <c r="CC95" s="88">
        <v>0</v>
      </c>
      <c r="CD95" s="88">
        <f>IF($AU$95="základní",$AG$95,0)</f>
        <v>0</v>
      </c>
      <c r="CE95" s="88">
        <f>IF($AU$95="snížená",$AG$95,0)</f>
        <v>0</v>
      </c>
      <c r="CF95" s="88">
        <f>IF($AU$95="zákl. přenesená",$AG$95,0)</f>
        <v>0</v>
      </c>
      <c r="CG95" s="88">
        <f>IF($AU$95="sníž. přenesená",$AG$95,0)</f>
        <v>0</v>
      </c>
      <c r="CH95" s="88">
        <f>IF($AU$95="nulová",$AG$95,0)</f>
        <v>0</v>
      </c>
      <c r="CI95" s="6">
        <f>IF($AU$95="základní",1,IF($AU$95="snížená",2,IF($AU$95="zákl. přenesená",4,IF($AU$95="sníž. přenesená",5,3))))</f>
        <v>1</v>
      </c>
      <c r="CJ95" s="6">
        <f>IF($AT$95="stavební čast",1,IF(8895="investiční čast",2,3))</f>
        <v>1</v>
      </c>
      <c r="CK95" s="6" t="str">
        <f>IF($D$95="Vyplň vlastní","","x")</f>
        <v>x</v>
      </c>
    </row>
    <row r="96" spans="2:89" s="6" customFormat="1" ht="21" customHeight="1">
      <c r="B96" s="22"/>
      <c r="C96" s="23"/>
      <c r="D96" s="84" t="s">
        <v>93</v>
      </c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195">
        <f>ROUNDUP($AG$87*$AS$96,2)</f>
        <v>0</v>
      </c>
      <c r="AH96" s="183"/>
      <c r="AI96" s="183"/>
      <c r="AJ96" s="183"/>
      <c r="AK96" s="183"/>
      <c r="AL96" s="183"/>
      <c r="AM96" s="183"/>
      <c r="AN96" s="196">
        <f>ROUNDUP($AG$96+$AV$96,2)</f>
        <v>0</v>
      </c>
      <c r="AO96" s="183"/>
      <c r="AP96" s="183"/>
      <c r="AQ96" s="24"/>
      <c r="AS96" s="89">
        <v>0</v>
      </c>
      <c r="AT96" s="90" t="s">
        <v>88</v>
      </c>
      <c r="AU96" s="90" t="s">
        <v>38</v>
      </c>
      <c r="AV96" s="91">
        <f>ROUNDUP(IF($AU$96="základní",$AG$96*$L$28,IF($AU$96="snížená",$AG$96*$L$29,0)),2)</f>
        <v>0</v>
      </c>
      <c r="BV96" s="6" t="s">
        <v>89</v>
      </c>
      <c r="BY96" s="88">
        <f>IF($AU$96="základní",$AV$96,0)</f>
        <v>0</v>
      </c>
      <c r="BZ96" s="88">
        <f>IF($AU$96="snížená",$AV$96,0)</f>
        <v>0</v>
      </c>
      <c r="CA96" s="88">
        <v>0</v>
      </c>
      <c r="CB96" s="88">
        <v>0</v>
      </c>
      <c r="CC96" s="88">
        <v>0</v>
      </c>
      <c r="CD96" s="88">
        <f>IF($AU$96="základní",$AG$96,0)</f>
        <v>0</v>
      </c>
      <c r="CE96" s="88">
        <f>IF($AU$96="snížená",$AG$96,0)</f>
        <v>0</v>
      </c>
      <c r="CF96" s="88">
        <f>IF($AU$96="zákl. přenesená",$AG$96,0)</f>
        <v>0</v>
      </c>
      <c r="CG96" s="88">
        <f>IF($AU$96="sníž. přenesená",$AG$96,0)</f>
        <v>0</v>
      </c>
      <c r="CH96" s="88">
        <f>IF($AU$96="nulová",$AG$96,0)</f>
        <v>0</v>
      </c>
      <c r="CI96" s="6">
        <f>IF($AU$96="základní",1,IF($AU$96="snížená",2,IF($AU$96="zákl. přenesená",4,IF($AU$96="sníž. přenesená",5,3))))</f>
        <v>1</v>
      </c>
      <c r="CJ96" s="6">
        <f>IF($AT$96="stavební čast",1,IF(8896="investiční čast",2,3))</f>
        <v>1</v>
      </c>
      <c r="CK96" s="6" t="str">
        <f>IF($D$96="Vyplň vlastní","","x")</f>
        <v>x</v>
      </c>
    </row>
    <row r="97" spans="2:89" s="6" customFormat="1" ht="21" customHeight="1">
      <c r="B97" s="22"/>
      <c r="C97" s="23"/>
      <c r="D97" s="84" t="s">
        <v>94</v>
      </c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195">
        <f>ROUNDUP($AG$87*$AS$97,2)</f>
        <v>0</v>
      </c>
      <c r="AH97" s="183"/>
      <c r="AI97" s="183"/>
      <c r="AJ97" s="183"/>
      <c r="AK97" s="183"/>
      <c r="AL97" s="183"/>
      <c r="AM97" s="183"/>
      <c r="AN97" s="196">
        <f>ROUNDUP($AG$97+$AV$97,2)</f>
        <v>0</v>
      </c>
      <c r="AO97" s="183"/>
      <c r="AP97" s="183"/>
      <c r="AQ97" s="24"/>
      <c r="AS97" s="89">
        <v>0</v>
      </c>
      <c r="AT97" s="90" t="s">
        <v>88</v>
      </c>
      <c r="AU97" s="90" t="s">
        <v>38</v>
      </c>
      <c r="AV97" s="91">
        <f>ROUNDUP(IF($AU$97="základní",$AG$97*$L$28,IF($AU$97="snížená",$AG$97*$L$29,0)),2)</f>
        <v>0</v>
      </c>
      <c r="BV97" s="6" t="s">
        <v>89</v>
      </c>
      <c r="BY97" s="88">
        <f>IF($AU$97="základní",$AV$97,0)</f>
        <v>0</v>
      </c>
      <c r="BZ97" s="88">
        <f>IF($AU$97="snížená",$AV$97,0)</f>
        <v>0</v>
      </c>
      <c r="CA97" s="88">
        <v>0</v>
      </c>
      <c r="CB97" s="88">
        <v>0</v>
      </c>
      <c r="CC97" s="88">
        <v>0</v>
      </c>
      <c r="CD97" s="88">
        <f>IF($AU$97="základní",$AG$97,0)</f>
        <v>0</v>
      </c>
      <c r="CE97" s="88">
        <f>IF($AU$97="snížená",$AG$97,0)</f>
        <v>0</v>
      </c>
      <c r="CF97" s="88">
        <f>IF($AU$97="zákl. přenesená",$AG$97,0)</f>
        <v>0</v>
      </c>
      <c r="CG97" s="88">
        <f>IF($AU$97="sníž. přenesená",$AG$97,0)</f>
        <v>0</v>
      </c>
      <c r="CH97" s="88">
        <f>IF($AU$97="nulová",$AG$97,0)</f>
        <v>0</v>
      </c>
      <c r="CI97" s="6">
        <f>IF($AU$97="základní",1,IF($AU$97="snížená",2,IF($AU$97="zákl. přenesená",4,IF($AU$97="sníž. přenesená",5,3))))</f>
        <v>1</v>
      </c>
      <c r="CJ97" s="6">
        <f>IF($AT$97="stavební čast",1,IF(8897="investiční čast",2,3))</f>
        <v>1</v>
      </c>
      <c r="CK97" s="6" t="str">
        <f>IF($D$97="Vyplň vlastní","","x")</f>
        <v>x</v>
      </c>
    </row>
    <row r="98" spans="2:89" s="6" customFormat="1" ht="21" customHeight="1">
      <c r="B98" s="22"/>
      <c r="C98" s="23"/>
      <c r="D98" s="84" t="s">
        <v>95</v>
      </c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195">
        <f>ROUNDUP($AG$87*$AS$98,2)</f>
        <v>0</v>
      </c>
      <c r="AH98" s="183"/>
      <c r="AI98" s="183"/>
      <c r="AJ98" s="183"/>
      <c r="AK98" s="183"/>
      <c r="AL98" s="183"/>
      <c r="AM98" s="183"/>
      <c r="AN98" s="196">
        <f>ROUNDUP($AG$98+$AV$98,2)</f>
        <v>0</v>
      </c>
      <c r="AO98" s="183"/>
      <c r="AP98" s="183"/>
      <c r="AQ98" s="24"/>
      <c r="AS98" s="89">
        <v>0</v>
      </c>
      <c r="AT98" s="90" t="s">
        <v>88</v>
      </c>
      <c r="AU98" s="90" t="s">
        <v>38</v>
      </c>
      <c r="AV98" s="91">
        <f>ROUNDUP(IF($AU$98="základní",$AG$98*$L$28,IF($AU$98="snížená",$AG$98*$L$29,0)),2)</f>
        <v>0</v>
      </c>
      <c r="BV98" s="6" t="s">
        <v>89</v>
      </c>
      <c r="BY98" s="88">
        <f>IF($AU$98="základní",$AV$98,0)</f>
        <v>0</v>
      </c>
      <c r="BZ98" s="88">
        <f>IF($AU$98="snížená",$AV$98,0)</f>
        <v>0</v>
      </c>
      <c r="CA98" s="88">
        <v>0</v>
      </c>
      <c r="CB98" s="88">
        <v>0</v>
      </c>
      <c r="CC98" s="88">
        <v>0</v>
      </c>
      <c r="CD98" s="88">
        <f>IF($AU$98="základní",$AG$98,0)</f>
        <v>0</v>
      </c>
      <c r="CE98" s="88">
        <f>IF($AU$98="snížená",$AG$98,0)</f>
        <v>0</v>
      </c>
      <c r="CF98" s="88">
        <f>IF($AU$98="zákl. přenesená",$AG$98,0)</f>
        <v>0</v>
      </c>
      <c r="CG98" s="88">
        <f>IF($AU$98="sníž. přenesená",$AG$98,0)</f>
        <v>0</v>
      </c>
      <c r="CH98" s="88">
        <f>IF($AU$98="nulová",$AG$98,0)</f>
        <v>0</v>
      </c>
      <c r="CI98" s="6">
        <f>IF($AU$98="základní",1,IF($AU$98="snížená",2,IF($AU$98="zákl. přenesená",4,IF($AU$98="sníž. přenesená",5,3))))</f>
        <v>1</v>
      </c>
      <c r="CJ98" s="6">
        <f>IF($AT$98="stavební čast",1,IF(8898="investiční čast",2,3))</f>
        <v>1</v>
      </c>
      <c r="CK98" s="6" t="str">
        <f>IF($D$98="Vyplň vlastní","","x")</f>
        <v>x</v>
      </c>
    </row>
    <row r="99" spans="2:89" s="6" customFormat="1" ht="21" customHeight="1">
      <c r="B99" s="22"/>
      <c r="C99" s="23"/>
      <c r="D99" s="84" t="s">
        <v>96</v>
      </c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195">
        <f>ROUNDUP($AG$87*$AS$99,2)</f>
        <v>0</v>
      </c>
      <c r="AH99" s="183"/>
      <c r="AI99" s="183"/>
      <c r="AJ99" s="183"/>
      <c r="AK99" s="183"/>
      <c r="AL99" s="183"/>
      <c r="AM99" s="183"/>
      <c r="AN99" s="196">
        <f>ROUNDUP($AG$99+$AV$99,2)</f>
        <v>0</v>
      </c>
      <c r="AO99" s="183"/>
      <c r="AP99" s="183"/>
      <c r="AQ99" s="24"/>
      <c r="AS99" s="89">
        <v>0</v>
      </c>
      <c r="AT99" s="90" t="s">
        <v>88</v>
      </c>
      <c r="AU99" s="90" t="s">
        <v>38</v>
      </c>
      <c r="AV99" s="91">
        <f>ROUNDUP(IF($AU$99="základní",$AG$99*$L$28,IF($AU$99="snížená",$AG$99*$L$29,0)),2)</f>
        <v>0</v>
      </c>
      <c r="BV99" s="6" t="s">
        <v>89</v>
      </c>
      <c r="BY99" s="88">
        <f>IF($AU$99="základní",$AV$99,0)</f>
        <v>0</v>
      </c>
      <c r="BZ99" s="88">
        <f>IF($AU$99="snížená",$AV$99,0)</f>
        <v>0</v>
      </c>
      <c r="CA99" s="88">
        <v>0</v>
      </c>
      <c r="CB99" s="88">
        <v>0</v>
      </c>
      <c r="CC99" s="88">
        <v>0</v>
      </c>
      <c r="CD99" s="88">
        <f>IF($AU$99="základní",$AG$99,0)</f>
        <v>0</v>
      </c>
      <c r="CE99" s="88">
        <f>IF($AU$99="snížená",$AG$99,0)</f>
        <v>0</v>
      </c>
      <c r="CF99" s="88">
        <f>IF($AU$99="zákl. přenesená",$AG$99,0)</f>
        <v>0</v>
      </c>
      <c r="CG99" s="88">
        <f>IF($AU$99="sníž. přenesená",$AG$99,0)</f>
        <v>0</v>
      </c>
      <c r="CH99" s="88">
        <f>IF($AU$99="nulová",$AG$99,0)</f>
        <v>0</v>
      </c>
      <c r="CI99" s="6">
        <f>IF($AU$99="základní",1,IF($AU$99="snížená",2,IF($AU$99="zákl. přenesená",4,IF($AU$99="sníž. přenesená",5,3))))</f>
        <v>1</v>
      </c>
      <c r="CJ99" s="6">
        <f>IF($AT$99="stavební čast",1,IF(8899="investiční čast",2,3))</f>
        <v>1</v>
      </c>
      <c r="CK99" s="6" t="str">
        <f>IF($D$99="Vyplň vlastní","","x")</f>
        <v>x</v>
      </c>
    </row>
    <row r="100" spans="2:89" s="6" customFormat="1" ht="21" customHeight="1">
      <c r="B100" s="22"/>
      <c r="C100" s="23"/>
      <c r="D100" s="84" t="s">
        <v>97</v>
      </c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195">
        <f>ROUNDUP($AG$87*$AS$100,2)</f>
        <v>0</v>
      </c>
      <c r="AH100" s="183"/>
      <c r="AI100" s="183"/>
      <c r="AJ100" s="183"/>
      <c r="AK100" s="183"/>
      <c r="AL100" s="183"/>
      <c r="AM100" s="183"/>
      <c r="AN100" s="196">
        <f>ROUNDUP($AG$100+$AV$100,2)</f>
        <v>0</v>
      </c>
      <c r="AO100" s="183"/>
      <c r="AP100" s="183"/>
      <c r="AQ100" s="24"/>
      <c r="AS100" s="89">
        <v>0</v>
      </c>
      <c r="AT100" s="90" t="s">
        <v>88</v>
      </c>
      <c r="AU100" s="90" t="s">
        <v>38</v>
      </c>
      <c r="AV100" s="91">
        <f>ROUNDUP(IF($AU$100="základní",$AG$100*$L$28,IF($AU$100="snížená",$AG$100*$L$29,0)),2)</f>
        <v>0</v>
      </c>
      <c r="BV100" s="6" t="s">
        <v>89</v>
      </c>
      <c r="BY100" s="88">
        <f>IF($AU$100="základní",$AV$100,0)</f>
        <v>0</v>
      </c>
      <c r="BZ100" s="88">
        <f>IF($AU$100="snížená",$AV$100,0)</f>
        <v>0</v>
      </c>
      <c r="CA100" s="88">
        <v>0</v>
      </c>
      <c r="CB100" s="88">
        <v>0</v>
      </c>
      <c r="CC100" s="88">
        <v>0</v>
      </c>
      <c r="CD100" s="88">
        <f>IF($AU$100="základní",$AG$100,0)</f>
        <v>0</v>
      </c>
      <c r="CE100" s="88">
        <f>IF($AU$100="snížená",$AG$100,0)</f>
        <v>0</v>
      </c>
      <c r="CF100" s="88">
        <f>IF($AU$100="zákl. přenesená",$AG$100,0)</f>
        <v>0</v>
      </c>
      <c r="CG100" s="88">
        <f>IF($AU$100="sníž. přenesená",$AG$100,0)</f>
        <v>0</v>
      </c>
      <c r="CH100" s="88">
        <f>IF($AU$100="nulová",$AG$100,0)</f>
        <v>0</v>
      </c>
      <c r="CI100" s="6">
        <f>IF($AU$100="základní",1,IF($AU$100="snížená",2,IF($AU$100="zákl. přenesená",4,IF($AU$100="sníž. přenesená",5,3))))</f>
        <v>1</v>
      </c>
      <c r="CJ100" s="6">
        <f>IF($AT$100="stavební čast",1,IF(88100="investiční čast",2,3))</f>
        <v>1</v>
      </c>
      <c r="CK100" s="6" t="str">
        <f>IF($D$100="Vyplň vlastní","","x")</f>
        <v>x</v>
      </c>
    </row>
    <row r="101" spans="2:89" s="6" customFormat="1" ht="21" customHeight="1">
      <c r="B101" s="22"/>
      <c r="C101" s="23"/>
      <c r="D101" s="84" t="s">
        <v>98</v>
      </c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195">
        <f>ROUNDUP($AG$87*$AS$101,2)</f>
        <v>0</v>
      </c>
      <c r="AH101" s="183"/>
      <c r="AI101" s="183"/>
      <c r="AJ101" s="183"/>
      <c r="AK101" s="183"/>
      <c r="AL101" s="183"/>
      <c r="AM101" s="183"/>
      <c r="AN101" s="196">
        <f>ROUNDUP($AG$101+$AV$101,2)</f>
        <v>0</v>
      </c>
      <c r="AO101" s="183"/>
      <c r="AP101" s="183"/>
      <c r="AQ101" s="24"/>
      <c r="AS101" s="89">
        <v>0</v>
      </c>
      <c r="AT101" s="90" t="s">
        <v>88</v>
      </c>
      <c r="AU101" s="90" t="s">
        <v>38</v>
      </c>
      <c r="AV101" s="91">
        <f>ROUNDUP(IF($AU$101="základní",$AG$101*$L$28,IF($AU$101="snížená",$AG$101*$L$29,0)),2)</f>
        <v>0</v>
      </c>
      <c r="BV101" s="6" t="s">
        <v>89</v>
      </c>
      <c r="BY101" s="88">
        <f>IF($AU$101="základní",$AV$101,0)</f>
        <v>0</v>
      </c>
      <c r="BZ101" s="88">
        <f>IF($AU$101="snížená",$AV$101,0)</f>
        <v>0</v>
      </c>
      <c r="CA101" s="88">
        <v>0</v>
      </c>
      <c r="CB101" s="88">
        <v>0</v>
      </c>
      <c r="CC101" s="88">
        <v>0</v>
      </c>
      <c r="CD101" s="88">
        <f>IF($AU$101="základní",$AG$101,0)</f>
        <v>0</v>
      </c>
      <c r="CE101" s="88">
        <f>IF($AU$101="snížená",$AG$101,0)</f>
        <v>0</v>
      </c>
      <c r="CF101" s="88">
        <f>IF($AU$101="zákl. přenesená",$AG$101,0)</f>
        <v>0</v>
      </c>
      <c r="CG101" s="88">
        <f>IF($AU$101="sníž. přenesená",$AG$101,0)</f>
        <v>0</v>
      </c>
      <c r="CH101" s="88">
        <f>IF($AU$101="nulová",$AG$101,0)</f>
        <v>0</v>
      </c>
      <c r="CI101" s="6">
        <f>IF($AU$101="základní",1,IF($AU$101="snížená",2,IF($AU$101="zákl. přenesená",4,IF($AU$101="sníž. přenesená",5,3))))</f>
        <v>1</v>
      </c>
      <c r="CJ101" s="6">
        <f>IF($AT$101="stavební čast",1,IF(88101="investiční čast",2,3))</f>
        <v>1</v>
      </c>
      <c r="CK101" s="6" t="str">
        <f>IF($D$101="Vyplň vlastní","","x")</f>
        <v>x</v>
      </c>
    </row>
    <row r="102" spans="2:89" s="6" customFormat="1" ht="21" customHeight="1">
      <c r="B102" s="22"/>
      <c r="C102" s="23"/>
      <c r="D102" s="197" t="s">
        <v>99</v>
      </c>
      <c r="E102" s="183"/>
      <c r="F102" s="183"/>
      <c r="G102" s="183"/>
      <c r="H102" s="183"/>
      <c r="I102" s="183"/>
      <c r="J102" s="183"/>
      <c r="K102" s="183"/>
      <c r="L102" s="183"/>
      <c r="M102" s="183"/>
      <c r="N102" s="183"/>
      <c r="O102" s="183"/>
      <c r="P102" s="183"/>
      <c r="Q102" s="183"/>
      <c r="R102" s="183"/>
      <c r="S102" s="183"/>
      <c r="T102" s="183"/>
      <c r="U102" s="183"/>
      <c r="V102" s="183"/>
      <c r="W102" s="183"/>
      <c r="X102" s="183"/>
      <c r="Y102" s="183"/>
      <c r="Z102" s="183"/>
      <c r="AA102" s="183"/>
      <c r="AB102" s="183"/>
      <c r="AC102" s="23"/>
      <c r="AD102" s="23"/>
      <c r="AE102" s="23"/>
      <c r="AF102" s="23"/>
      <c r="AG102" s="195">
        <f>$AG$87*$AS$102</f>
        <v>0</v>
      </c>
      <c r="AH102" s="183"/>
      <c r="AI102" s="183"/>
      <c r="AJ102" s="183"/>
      <c r="AK102" s="183"/>
      <c r="AL102" s="183"/>
      <c r="AM102" s="183"/>
      <c r="AN102" s="196">
        <f>$AG$102+$AV$102</f>
        <v>0</v>
      </c>
      <c r="AO102" s="183"/>
      <c r="AP102" s="183"/>
      <c r="AQ102" s="24"/>
      <c r="AS102" s="89">
        <v>0</v>
      </c>
      <c r="AT102" s="90" t="s">
        <v>88</v>
      </c>
      <c r="AU102" s="90" t="s">
        <v>38</v>
      </c>
      <c r="AV102" s="91">
        <f>ROUNDUP(IF($AU$102="nulová",0,IF(OR($AU$102="základní",$AU$102="zákl. přenesená"),$AG$102*$L$28,$AG$102*$L$29)),1)</f>
        <v>0</v>
      </c>
      <c r="BV102" s="6" t="s">
        <v>100</v>
      </c>
      <c r="BY102" s="88">
        <f>IF($AU$102="základní",$AV$102,0)</f>
        <v>0</v>
      </c>
      <c r="BZ102" s="88">
        <f>IF($AU$102="snížená",$AV$102,0)</f>
        <v>0</v>
      </c>
      <c r="CA102" s="88">
        <f>IF($AU$102="zákl. přenesená",$AV$102,0)</f>
        <v>0</v>
      </c>
      <c r="CB102" s="88">
        <f>IF($AU$102="sníž. přenesená",$AV$102,0)</f>
        <v>0</v>
      </c>
      <c r="CC102" s="88">
        <f>IF($AU$102="nulová",$AV$102,0)</f>
        <v>0</v>
      </c>
      <c r="CD102" s="88">
        <f>IF($AU$102="základní",$AG$102,0)</f>
        <v>0</v>
      </c>
      <c r="CE102" s="88">
        <f>IF($AU$102="snížená",$AG$102,0)</f>
        <v>0</v>
      </c>
      <c r="CF102" s="88">
        <f>IF($AU$102="zákl. přenesená",$AG$102,0)</f>
        <v>0</v>
      </c>
      <c r="CG102" s="88">
        <f>IF($AU$102="sníž. přenesená",$AG$102,0)</f>
        <v>0</v>
      </c>
      <c r="CH102" s="88">
        <f>IF($AU$102="nulová",$AG$102,0)</f>
        <v>0</v>
      </c>
      <c r="CI102" s="6">
        <f>IF($AU$102="základní",1,IF($AU$102="snížená",2,IF($AU$102="zákl. přenesená",4,IF($AU$102="sníž. přenesená",5,3))))</f>
        <v>1</v>
      </c>
      <c r="CJ102" s="6">
        <f>IF($AT$102="stavební čast",1,IF(88102="investiční čast",2,3))</f>
        <v>1</v>
      </c>
      <c r="CK102" s="6">
        <f>IF($D$102="Vyplň vlastní","","x")</f>
      </c>
    </row>
    <row r="103" spans="2:89" s="6" customFormat="1" ht="21" customHeight="1">
      <c r="B103" s="22"/>
      <c r="C103" s="23"/>
      <c r="D103" s="197" t="s">
        <v>99</v>
      </c>
      <c r="E103" s="183"/>
      <c r="F103" s="183"/>
      <c r="G103" s="183"/>
      <c r="H103" s="183"/>
      <c r="I103" s="183"/>
      <c r="J103" s="183"/>
      <c r="K103" s="183"/>
      <c r="L103" s="183"/>
      <c r="M103" s="183"/>
      <c r="N103" s="183"/>
      <c r="O103" s="183"/>
      <c r="P103" s="183"/>
      <c r="Q103" s="183"/>
      <c r="R103" s="183"/>
      <c r="S103" s="183"/>
      <c r="T103" s="183"/>
      <c r="U103" s="183"/>
      <c r="V103" s="183"/>
      <c r="W103" s="183"/>
      <c r="X103" s="183"/>
      <c r="Y103" s="183"/>
      <c r="Z103" s="183"/>
      <c r="AA103" s="183"/>
      <c r="AB103" s="183"/>
      <c r="AC103" s="23"/>
      <c r="AD103" s="23"/>
      <c r="AE103" s="23"/>
      <c r="AF103" s="23"/>
      <c r="AG103" s="195">
        <f>$AG$87*$AS$103</f>
        <v>0</v>
      </c>
      <c r="AH103" s="183"/>
      <c r="AI103" s="183"/>
      <c r="AJ103" s="183"/>
      <c r="AK103" s="183"/>
      <c r="AL103" s="183"/>
      <c r="AM103" s="183"/>
      <c r="AN103" s="196">
        <f>$AG$103+$AV$103</f>
        <v>0</v>
      </c>
      <c r="AO103" s="183"/>
      <c r="AP103" s="183"/>
      <c r="AQ103" s="24"/>
      <c r="AS103" s="89">
        <v>0</v>
      </c>
      <c r="AT103" s="90" t="s">
        <v>88</v>
      </c>
      <c r="AU103" s="90" t="s">
        <v>38</v>
      </c>
      <c r="AV103" s="91">
        <f>ROUNDUP(IF($AU$103="nulová",0,IF(OR($AU$103="základní",$AU$103="zákl. přenesená"),$AG$103*$L$28,$AG$103*$L$29)),1)</f>
        <v>0</v>
      </c>
      <c r="BV103" s="6" t="s">
        <v>100</v>
      </c>
      <c r="BY103" s="88">
        <f>IF($AU$103="základní",$AV$103,0)</f>
        <v>0</v>
      </c>
      <c r="BZ103" s="88">
        <f>IF($AU$103="snížená",$AV$103,0)</f>
        <v>0</v>
      </c>
      <c r="CA103" s="88">
        <f>IF($AU$103="zákl. přenesená",$AV$103,0)</f>
        <v>0</v>
      </c>
      <c r="CB103" s="88">
        <f>IF($AU$103="sníž. přenesená",$AV$103,0)</f>
        <v>0</v>
      </c>
      <c r="CC103" s="88">
        <f>IF($AU$103="nulová",$AV$103,0)</f>
        <v>0</v>
      </c>
      <c r="CD103" s="88">
        <f>IF($AU$103="základní",$AG$103,0)</f>
        <v>0</v>
      </c>
      <c r="CE103" s="88">
        <f>IF($AU$103="snížená",$AG$103,0)</f>
        <v>0</v>
      </c>
      <c r="CF103" s="88">
        <f>IF($AU$103="zákl. přenesená",$AG$103,0)</f>
        <v>0</v>
      </c>
      <c r="CG103" s="88">
        <f>IF($AU$103="sníž. přenesená",$AG$103,0)</f>
        <v>0</v>
      </c>
      <c r="CH103" s="88">
        <f>IF($AU$103="nulová",$AG$103,0)</f>
        <v>0</v>
      </c>
      <c r="CI103" s="6">
        <f>IF($AU$103="základní",1,IF($AU$103="snížená",2,IF($AU$103="zákl. přenesená",4,IF($AU$103="sníž. přenesená",5,3))))</f>
        <v>1</v>
      </c>
      <c r="CJ103" s="6">
        <f>IF($AT$103="stavební čast",1,IF(88103="investiční čast",2,3))</f>
        <v>1</v>
      </c>
      <c r="CK103" s="6">
        <f>IF($D$103="Vyplň vlastní","","x")</f>
      </c>
    </row>
    <row r="104" spans="2:89" s="6" customFormat="1" ht="21" customHeight="1">
      <c r="B104" s="22"/>
      <c r="C104" s="23"/>
      <c r="D104" s="197" t="s">
        <v>99</v>
      </c>
      <c r="E104" s="183"/>
      <c r="F104" s="183"/>
      <c r="G104" s="183"/>
      <c r="H104" s="183"/>
      <c r="I104" s="183"/>
      <c r="J104" s="183"/>
      <c r="K104" s="183"/>
      <c r="L104" s="183"/>
      <c r="M104" s="183"/>
      <c r="N104" s="183"/>
      <c r="O104" s="183"/>
      <c r="P104" s="183"/>
      <c r="Q104" s="183"/>
      <c r="R104" s="183"/>
      <c r="S104" s="183"/>
      <c r="T104" s="183"/>
      <c r="U104" s="183"/>
      <c r="V104" s="183"/>
      <c r="W104" s="183"/>
      <c r="X104" s="183"/>
      <c r="Y104" s="183"/>
      <c r="Z104" s="183"/>
      <c r="AA104" s="183"/>
      <c r="AB104" s="183"/>
      <c r="AC104" s="23"/>
      <c r="AD104" s="23"/>
      <c r="AE104" s="23"/>
      <c r="AF104" s="23"/>
      <c r="AG104" s="195">
        <f>$AG$87*$AS$104</f>
        <v>0</v>
      </c>
      <c r="AH104" s="183"/>
      <c r="AI104" s="183"/>
      <c r="AJ104" s="183"/>
      <c r="AK104" s="183"/>
      <c r="AL104" s="183"/>
      <c r="AM104" s="183"/>
      <c r="AN104" s="196">
        <f>$AG$104+$AV$104</f>
        <v>0</v>
      </c>
      <c r="AO104" s="183"/>
      <c r="AP104" s="183"/>
      <c r="AQ104" s="24"/>
      <c r="AS104" s="92">
        <v>0</v>
      </c>
      <c r="AT104" s="93" t="s">
        <v>88</v>
      </c>
      <c r="AU104" s="93" t="s">
        <v>38</v>
      </c>
      <c r="AV104" s="94">
        <f>ROUNDUP(IF($AU$104="nulová",0,IF(OR($AU$104="základní",$AU$104="zákl. přenesená"),$AG$104*$L$28,$AG$104*$L$29)),1)</f>
        <v>0</v>
      </c>
      <c r="BV104" s="6" t="s">
        <v>100</v>
      </c>
      <c r="BY104" s="88">
        <f>IF($AU$104="základní",$AV$104,0)</f>
        <v>0</v>
      </c>
      <c r="BZ104" s="88">
        <f>IF($AU$104="snížená",$AV$104,0)</f>
        <v>0</v>
      </c>
      <c r="CA104" s="88">
        <f>IF($AU$104="zákl. přenesená",$AV$104,0)</f>
        <v>0</v>
      </c>
      <c r="CB104" s="88">
        <f>IF($AU$104="sníž. přenesená",$AV$104,0)</f>
        <v>0</v>
      </c>
      <c r="CC104" s="88">
        <f>IF($AU$104="nulová",$AV$104,0)</f>
        <v>0</v>
      </c>
      <c r="CD104" s="88">
        <f>IF($AU$104="základní",$AG$104,0)</f>
        <v>0</v>
      </c>
      <c r="CE104" s="88">
        <f>IF($AU$104="snížená",$AG$104,0)</f>
        <v>0</v>
      </c>
      <c r="CF104" s="88">
        <f>IF($AU$104="zákl. přenesená",$AG$104,0)</f>
        <v>0</v>
      </c>
      <c r="CG104" s="88">
        <f>IF($AU$104="sníž. přenesená",$AG$104,0)</f>
        <v>0</v>
      </c>
      <c r="CH104" s="88">
        <f>IF($AU$104="nulová",$AG$104,0)</f>
        <v>0</v>
      </c>
      <c r="CI104" s="6">
        <f>IF($AU$104="základní",1,IF($AU$104="snížená",2,IF($AU$104="zákl. přenesená",4,IF($AU$104="sníž. přenesená",5,3))))</f>
        <v>1</v>
      </c>
      <c r="CJ104" s="6">
        <f>IF($AT$104="stavební čast",1,IF(88104="investiční čast",2,3))</f>
        <v>1</v>
      </c>
      <c r="CK104" s="6">
        <f>IF($D$104="Vyplň vlastní","","x")</f>
      </c>
    </row>
    <row r="105" spans="2:43" s="6" customFormat="1" ht="12" customHeight="1">
      <c r="B105" s="22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4"/>
    </row>
    <row r="106" spans="2:43" s="6" customFormat="1" ht="30.75" customHeight="1">
      <c r="B106" s="22"/>
      <c r="C106" s="95" t="s">
        <v>101</v>
      </c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200">
        <f>ROUNDUP($AG$87+$AG$91,2)</f>
        <v>0</v>
      </c>
      <c r="AH106" s="201"/>
      <c r="AI106" s="201"/>
      <c r="AJ106" s="201"/>
      <c r="AK106" s="201"/>
      <c r="AL106" s="201"/>
      <c r="AM106" s="201"/>
      <c r="AN106" s="200">
        <f>ROUNDUP($AN$87+$AN$91,2)</f>
        <v>0</v>
      </c>
      <c r="AO106" s="201"/>
      <c r="AP106" s="201"/>
      <c r="AQ106" s="24"/>
    </row>
    <row r="107" spans="2:43" s="6" customFormat="1" ht="7.5" customHeight="1">
      <c r="B107" s="45"/>
      <c r="C107" s="46"/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  <c r="AB107" s="46"/>
      <c r="AC107" s="46"/>
      <c r="AD107" s="46"/>
      <c r="AE107" s="46"/>
      <c r="AF107" s="46"/>
      <c r="AG107" s="46"/>
      <c r="AH107" s="46"/>
      <c r="AI107" s="46"/>
      <c r="AJ107" s="46"/>
      <c r="AK107" s="46"/>
      <c r="AL107" s="46"/>
      <c r="AM107" s="46"/>
      <c r="AN107" s="46"/>
      <c r="AO107" s="46"/>
      <c r="AP107" s="46"/>
      <c r="AQ107" s="47"/>
    </row>
  </sheetData>
  <sheetProtection password="CC35" sheet="1" objects="1" scenarios="1" formatColumns="0" formatRows="0" sort="0" autoFilter="0"/>
  <mergeCells count="78">
    <mergeCell ref="AG106:AM106"/>
    <mergeCell ref="AN106:AP106"/>
    <mergeCell ref="AR2:BE2"/>
    <mergeCell ref="D104:AB104"/>
    <mergeCell ref="AG104:AM104"/>
    <mergeCell ref="AN104:AP104"/>
    <mergeCell ref="AG87:AM87"/>
    <mergeCell ref="AN87:AP87"/>
    <mergeCell ref="AG91:AM91"/>
    <mergeCell ref="AN91:AP91"/>
    <mergeCell ref="D102:AB102"/>
    <mergeCell ref="AG102:AM102"/>
    <mergeCell ref="AN102:AP102"/>
    <mergeCell ref="D103:AB103"/>
    <mergeCell ref="AG103:AM103"/>
    <mergeCell ref="AN103:AP103"/>
    <mergeCell ref="AG99:AM99"/>
    <mergeCell ref="AN99:AP99"/>
    <mergeCell ref="AG100:AM100"/>
    <mergeCell ref="AN100:AP100"/>
    <mergeCell ref="AG101:AM101"/>
    <mergeCell ref="AN101:AP101"/>
    <mergeCell ref="AG96:AM96"/>
    <mergeCell ref="AN96:AP96"/>
    <mergeCell ref="AG97:AM97"/>
    <mergeCell ref="AN97:AP97"/>
    <mergeCell ref="AG98:AM98"/>
    <mergeCell ref="AN98:AP98"/>
    <mergeCell ref="AG93:AM93"/>
    <mergeCell ref="AN93:AP93"/>
    <mergeCell ref="AG94:AM94"/>
    <mergeCell ref="AN94:AP94"/>
    <mergeCell ref="AG95:AM95"/>
    <mergeCell ref="AN95:AP95"/>
    <mergeCell ref="AN89:AP89"/>
    <mergeCell ref="AG89:AM89"/>
    <mergeCell ref="D89:H89"/>
    <mergeCell ref="J89:AF89"/>
    <mergeCell ref="AG92:AM92"/>
    <mergeCell ref="AN92:AP92"/>
    <mergeCell ref="C85:G85"/>
    <mergeCell ref="I85:AF85"/>
    <mergeCell ref="AG85:AM85"/>
    <mergeCell ref="AN85:AP85"/>
    <mergeCell ref="AN88:AP88"/>
    <mergeCell ref="AG88:AM88"/>
    <mergeCell ref="D88:H88"/>
    <mergeCell ref="J88:AF88"/>
    <mergeCell ref="X34:AB34"/>
    <mergeCell ref="AK34:AO34"/>
    <mergeCell ref="C76:AP76"/>
    <mergeCell ref="L78:AO78"/>
    <mergeCell ref="AM82:AP82"/>
    <mergeCell ref="AS82:AT84"/>
    <mergeCell ref="AM83:AP83"/>
    <mergeCell ref="L31:O31"/>
    <mergeCell ref="W31:AE31"/>
    <mergeCell ref="AK31:AO31"/>
    <mergeCell ref="L32:O32"/>
    <mergeCell ref="W32:AE32"/>
    <mergeCell ref="AK32:AO32"/>
    <mergeCell ref="AK28:AO28"/>
    <mergeCell ref="L29:O29"/>
    <mergeCell ref="W29:AE29"/>
    <mergeCell ref="AK29:AO29"/>
    <mergeCell ref="L30:O30"/>
    <mergeCell ref="W30:AE30"/>
    <mergeCell ref="AK30:AO30"/>
    <mergeCell ref="C2:AP2"/>
    <mergeCell ref="C4:AP4"/>
    <mergeCell ref="BE5:BE34"/>
    <mergeCell ref="K6:AO6"/>
    <mergeCell ref="E14:AJ14"/>
    <mergeCell ref="AK23:AO23"/>
    <mergeCell ref="AK24:AO24"/>
    <mergeCell ref="AK26:AO26"/>
    <mergeCell ref="L28:O28"/>
    <mergeCell ref="W28:AE28"/>
  </mergeCells>
  <dataValidations count="2">
    <dataValidation type="list" allowBlank="1" showInputMessage="1" showErrorMessage="1" error="Povoleny jsou hodnoty základní, snížená, zákl. přenesená, sníž. přenesená, nulová." sqref="AU92:AU105">
      <formula1>"základní,snížená,zákl. přenesená,sníž. přenesená,nulová"</formula1>
    </dataValidation>
    <dataValidation type="list" allowBlank="1" showInputMessage="1" showErrorMessage="1" error="Povoleny jsou hodnoty stavební čast, technologická čast, investiční čast." sqref="AT92:AT105">
      <formula1>"stavební čast,technologická čast,investiční čast"</formula1>
    </dataValidation>
  </dataValidations>
  <hyperlinks>
    <hyperlink ref="K1:S1" location="C2" tooltip="Souhrnný list stavby" display="1) Souhrnný list stavby"/>
    <hyperlink ref="W1:AF1" location="C87" tooltip="Rekapitulace objektů" display="2) Rekapitulace objektů"/>
    <hyperlink ref="A88" location="'0251-zti - D.1.4.b - Zdra...'!C2" tooltip="0251-zti - D.1.4.b - Zdra..." display="/"/>
    <hyperlink ref="A89" location="'stavební - Stavební část'!C2" tooltip="stavební - Stavební část" display="/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95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82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.6679687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4" width="10.5" style="2" hidden="1" customWidth="1"/>
    <col min="65" max="16384" width="10.5" style="1" customWidth="1"/>
  </cols>
  <sheetData>
    <row r="1" spans="1:256" s="3" customFormat="1" ht="22.5" customHeight="1">
      <c r="A1" s="240"/>
      <c r="B1" s="237"/>
      <c r="C1" s="237"/>
      <c r="D1" s="238" t="s">
        <v>1</v>
      </c>
      <c r="E1" s="237"/>
      <c r="F1" s="239" t="s">
        <v>542</v>
      </c>
      <c r="G1" s="239"/>
      <c r="H1" s="241" t="s">
        <v>543</v>
      </c>
      <c r="I1" s="241"/>
      <c r="J1" s="241"/>
      <c r="K1" s="241"/>
      <c r="L1" s="239" t="s">
        <v>544</v>
      </c>
      <c r="M1" s="237"/>
      <c r="N1" s="237"/>
      <c r="O1" s="238" t="s">
        <v>102</v>
      </c>
      <c r="P1" s="237"/>
      <c r="Q1" s="237"/>
      <c r="R1" s="237"/>
      <c r="S1" s="239" t="s">
        <v>545</v>
      </c>
      <c r="T1" s="239"/>
      <c r="U1" s="240"/>
      <c r="V1" s="240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164" t="s">
        <v>4</v>
      </c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S2" s="202" t="s">
        <v>5</v>
      </c>
      <c r="T2" s="165"/>
      <c r="U2" s="165"/>
      <c r="V2" s="165"/>
      <c r="W2" s="165"/>
      <c r="X2" s="165"/>
      <c r="Y2" s="165"/>
      <c r="Z2" s="165"/>
      <c r="AA2" s="165"/>
      <c r="AB2" s="165"/>
      <c r="AC2" s="165"/>
      <c r="AT2" s="2" t="s">
        <v>80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103</v>
      </c>
    </row>
    <row r="4" spans="2:46" s="2" customFormat="1" ht="37.5" customHeight="1">
      <c r="B4" s="10"/>
      <c r="C4" s="166" t="s">
        <v>104</v>
      </c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2"/>
      <c r="T4" s="13" t="s">
        <v>10</v>
      </c>
      <c r="AT4" s="2" t="s">
        <v>3</v>
      </c>
    </row>
    <row r="5" spans="2:18" s="2" customFormat="1" ht="7.5" customHeight="1"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2"/>
    </row>
    <row r="6" spans="2:18" s="2" customFormat="1" ht="15.75" customHeight="1">
      <c r="B6" s="10"/>
      <c r="C6" s="11"/>
      <c r="D6" s="16" t="s">
        <v>14</v>
      </c>
      <c r="E6" s="11"/>
      <c r="F6" s="203" t="str">
        <f>'Rekapitulace stavby'!$K$6</f>
        <v>0251-15 - Podkrušnohorská nemocnice následné péče, ul.Podkrušnohorská 638, litvínov - stavební úpravy v 1.N.P.</v>
      </c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1"/>
      <c r="R6" s="12"/>
    </row>
    <row r="7" spans="2:18" s="6" customFormat="1" ht="18.75" customHeight="1">
      <c r="B7" s="22"/>
      <c r="C7" s="23"/>
      <c r="D7" s="15" t="s">
        <v>105</v>
      </c>
      <c r="E7" s="23"/>
      <c r="F7" s="171" t="s">
        <v>106</v>
      </c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23"/>
      <c r="R7" s="24"/>
    </row>
    <row r="8" spans="2:18" s="6" customFormat="1" ht="7.5" customHeight="1">
      <c r="B8" s="22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4"/>
    </row>
    <row r="9" spans="2:18" s="6" customFormat="1" ht="15" customHeight="1">
      <c r="B9" s="22"/>
      <c r="C9" s="23"/>
      <c r="D9" s="16" t="s">
        <v>18</v>
      </c>
      <c r="E9" s="23"/>
      <c r="F9" s="17" t="s">
        <v>19</v>
      </c>
      <c r="G9" s="23"/>
      <c r="H9" s="23"/>
      <c r="I9" s="23"/>
      <c r="J9" s="23"/>
      <c r="K9" s="23"/>
      <c r="L9" s="23"/>
      <c r="M9" s="16" t="s">
        <v>20</v>
      </c>
      <c r="N9" s="23"/>
      <c r="O9" s="204" t="str">
        <f>'Rekapitulace stavby'!$AN$8</f>
        <v>13.11.2015</v>
      </c>
      <c r="P9" s="183"/>
      <c r="Q9" s="23"/>
      <c r="R9" s="24"/>
    </row>
    <row r="10" spans="2:18" s="6" customFormat="1" ht="7.5" customHeight="1">
      <c r="B10" s="22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4"/>
    </row>
    <row r="11" spans="2:18" s="6" customFormat="1" ht="15" customHeight="1">
      <c r="B11" s="22"/>
      <c r="C11" s="23"/>
      <c r="D11" s="16" t="s">
        <v>24</v>
      </c>
      <c r="E11" s="23"/>
      <c r="F11" s="23"/>
      <c r="G11" s="23"/>
      <c r="H11" s="23"/>
      <c r="I11" s="23"/>
      <c r="J11" s="23"/>
      <c r="K11" s="23"/>
      <c r="L11" s="23"/>
      <c r="M11" s="16" t="s">
        <v>25</v>
      </c>
      <c r="N11" s="23"/>
      <c r="O11" s="184"/>
      <c r="P11" s="183"/>
      <c r="Q11" s="23"/>
      <c r="R11" s="24"/>
    </row>
    <row r="12" spans="2:18" s="6" customFormat="1" ht="18.75" customHeight="1">
      <c r="B12" s="22"/>
      <c r="C12" s="23"/>
      <c r="D12" s="23"/>
      <c r="E12" s="17" t="s">
        <v>26</v>
      </c>
      <c r="F12" s="23"/>
      <c r="G12" s="23"/>
      <c r="H12" s="23"/>
      <c r="I12" s="23"/>
      <c r="J12" s="23"/>
      <c r="K12" s="23"/>
      <c r="L12" s="23"/>
      <c r="M12" s="16" t="s">
        <v>27</v>
      </c>
      <c r="N12" s="23"/>
      <c r="O12" s="184"/>
      <c r="P12" s="183"/>
      <c r="Q12" s="23"/>
      <c r="R12" s="24"/>
    </row>
    <row r="13" spans="2:18" s="6" customFormat="1" ht="7.5" customHeight="1">
      <c r="B13" s="22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4"/>
    </row>
    <row r="14" spans="2:18" s="6" customFormat="1" ht="15" customHeight="1">
      <c r="B14" s="22"/>
      <c r="C14" s="23"/>
      <c r="D14" s="16" t="s">
        <v>28</v>
      </c>
      <c r="E14" s="23"/>
      <c r="F14" s="23"/>
      <c r="G14" s="23"/>
      <c r="H14" s="23"/>
      <c r="I14" s="23"/>
      <c r="J14" s="23"/>
      <c r="K14" s="23"/>
      <c r="L14" s="23"/>
      <c r="M14" s="16" t="s">
        <v>25</v>
      </c>
      <c r="N14" s="23"/>
      <c r="O14" s="205" t="str">
        <f>IF('Rekapitulace stavby'!$AN$13="","",'Rekapitulace stavby'!$AN$13)</f>
        <v>Vyplň údaj</v>
      </c>
      <c r="P14" s="183"/>
      <c r="Q14" s="23"/>
      <c r="R14" s="24"/>
    </row>
    <row r="15" spans="2:18" s="6" customFormat="1" ht="18.75" customHeight="1">
      <c r="B15" s="22"/>
      <c r="C15" s="23"/>
      <c r="D15" s="23"/>
      <c r="E15" s="205" t="str">
        <f>IF('Rekapitulace stavby'!$E$14="","",'Rekapitulace stavby'!$E$14)</f>
        <v>Vyplň údaj</v>
      </c>
      <c r="F15" s="183"/>
      <c r="G15" s="183"/>
      <c r="H15" s="183"/>
      <c r="I15" s="183"/>
      <c r="J15" s="183"/>
      <c r="K15" s="183"/>
      <c r="L15" s="183"/>
      <c r="M15" s="16" t="s">
        <v>27</v>
      </c>
      <c r="N15" s="23"/>
      <c r="O15" s="205" t="str">
        <f>IF('Rekapitulace stavby'!$AN$14="","",'Rekapitulace stavby'!$AN$14)</f>
        <v>Vyplň údaj</v>
      </c>
      <c r="P15" s="183"/>
      <c r="Q15" s="23"/>
      <c r="R15" s="24"/>
    </row>
    <row r="16" spans="2:18" s="6" customFormat="1" ht="7.5" customHeight="1">
      <c r="B16" s="2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4"/>
    </row>
    <row r="17" spans="2:18" s="6" customFormat="1" ht="15" customHeight="1">
      <c r="B17" s="22"/>
      <c r="C17" s="23"/>
      <c r="D17" s="16" t="s">
        <v>30</v>
      </c>
      <c r="E17" s="23"/>
      <c r="F17" s="23"/>
      <c r="G17" s="23"/>
      <c r="H17" s="23"/>
      <c r="I17" s="23"/>
      <c r="J17" s="23"/>
      <c r="K17" s="23"/>
      <c r="L17" s="23"/>
      <c r="M17" s="16" t="s">
        <v>25</v>
      </c>
      <c r="N17" s="23"/>
      <c r="O17" s="184"/>
      <c r="P17" s="183"/>
      <c r="Q17" s="23"/>
      <c r="R17" s="24"/>
    </row>
    <row r="18" spans="2:18" s="6" customFormat="1" ht="18.75" customHeight="1">
      <c r="B18" s="22"/>
      <c r="C18" s="23"/>
      <c r="D18" s="23"/>
      <c r="E18" s="17" t="s">
        <v>31</v>
      </c>
      <c r="F18" s="23"/>
      <c r="G18" s="23"/>
      <c r="H18" s="23"/>
      <c r="I18" s="23"/>
      <c r="J18" s="23"/>
      <c r="K18" s="23"/>
      <c r="L18" s="23"/>
      <c r="M18" s="16" t="s">
        <v>27</v>
      </c>
      <c r="N18" s="23"/>
      <c r="O18" s="184"/>
      <c r="P18" s="183"/>
      <c r="Q18" s="23"/>
      <c r="R18" s="24"/>
    </row>
    <row r="19" spans="2:18" s="6" customFormat="1" ht="7.5" customHeight="1">
      <c r="B19" s="22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4"/>
    </row>
    <row r="20" spans="2:18" s="6" customFormat="1" ht="15" customHeight="1">
      <c r="B20" s="22"/>
      <c r="C20" s="23"/>
      <c r="D20" s="16" t="s">
        <v>33</v>
      </c>
      <c r="E20" s="23"/>
      <c r="F20" s="23"/>
      <c r="G20" s="23"/>
      <c r="H20" s="23"/>
      <c r="I20" s="23"/>
      <c r="J20" s="23"/>
      <c r="K20" s="23"/>
      <c r="L20" s="23"/>
      <c r="M20" s="16" t="s">
        <v>25</v>
      </c>
      <c r="N20" s="23"/>
      <c r="O20" s="184"/>
      <c r="P20" s="183"/>
      <c r="Q20" s="23"/>
      <c r="R20" s="24"/>
    </row>
    <row r="21" spans="2:18" s="6" customFormat="1" ht="18.75" customHeight="1">
      <c r="B21" s="22"/>
      <c r="C21" s="23"/>
      <c r="D21" s="23"/>
      <c r="E21" s="17" t="s">
        <v>107</v>
      </c>
      <c r="F21" s="23"/>
      <c r="G21" s="23"/>
      <c r="H21" s="23"/>
      <c r="I21" s="23"/>
      <c r="J21" s="23"/>
      <c r="K21" s="23"/>
      <c r="L21" s="23"/>
      <c r="M21" s="16" t="s">
        <v>27</v>
      </c>
      <c r="N21" s="23"/>
      <c r="O21" s="184"/>
      <c r="P21" s="183"/>
      <c r="Q21" s="23"/>
      <c r="R21" s="24"/>
    </row>
    <row r="22" spans="2:18" s="6" customFormat="1" ht="7.5" customHeight="1">
      <c r="B22" s="2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4"/>
    </row>
    <row r="23" spans="2:18" s="6" customFormat="1" ht="7.5" customHeight="1">
      <c r="B23" s="22"/>
      <c r="C23" s="23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23"/>
      <c r="R23" s="24"/>
    </row>
    <row r="24" spans="2:18" s="6" customFormat="1" ht="15" customHeight="1">
      <c r="B24" s="22"/>
      <c r="C24" s="23"/>
      <c r="D24" s="96" t="s">
        <v>108</v>
      </c>
      <c r="E24" s="23"/>
      <c r="F24" s="23"/>
      <c r="G24" s="23"/>
      <c r="H24" s="23"/>
      <c r="I24" s="23"/>
      <c r="J24" s="23"/>
      <c r="K24" s="23"/>
      <c r="L24" s="23"/>
      <c r="M24" s="173">
        <f>$N$88</f>
        <v>0</v>
      </c>
      <c r="N24" s="183"/>
      <c r="O24" s="183"/>
      <c r="P24" s="183"/>
      <c r="Q24" s="23"/>
      <c r="R24" s="24"/>
    </row>
    <row r="25" spans="2:18" s="6" customFormat="1" ht="15" customHeight="1">
      <c r="B25" s="22"/>
      <c r="C25" s="23"/>
      <c r="D25" s="21" t="s">
        <v>94</v>
      </c>
      <c r="E25" s="23"/>
      <c r="F25" s="23"/>
      <c r="G25" s="23"/>
      <c r="H25" s="23"/>
      <c r="I25" s="23"/>
      <c r="J25" s="23"/>
      <c r="K25" s="23"/>
      <c r="L25" s="23"/>
      <c r="M25" s="173">
        <f>$N$96</f>
        <v>0</v>
      </c>
      <c r="N25" s="183"/>
      <c r="O25" s="183"/>
      <c r="P25" s="183"/>
      <c r="Q25" s="23"/>
      <c r="R25" s="24"/>
    </row>
    <row r="26" spans="2:18" s="6" customFormat="1" ht="7.5" customHeight="1">
      <c r="B26" s="22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4"/>
    </row>
    <row r="27" spans="2:18" s="6" customFormat="1" ht="26.25" customHeight="1">
      <c r="B27" s="22"/>
      <c r="C27" s="23"/>
      <c r="D27" s="97" t="s">
        <v>36</v>
      </c>
      <c r="E27" s="23"/>
      <c r="F27" s="23"/>
      <c r="G27" s="23"/>
      <c r="H27" s="23"/>
      <c r="I27" s="23"/>
      <c r="J27" s="23"/>
      <c r="K27" s="23"/>
      <c r="L27" s="23"/>
      <c r="M27" s="206">
        <f>ROUNDUP($M$24+$M$25,2)</f>
        <v>0</v>
      </c>
      <c r="N27" s="183"/>
      <c r="O27" s="183"/>
      <c r="P27" s="183"/>
      <c r="Q27" s="23"/>
      <c r="R27" s="24"/>
    </row>
    <row r="28" spans="2:18" s="6" customFormat="1" ht="7.5" customHeight="1">
      <c r="B28" s="22"/>
      <c r="C28" s="23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23"/>
      <c r="R28" s="24"/>
    </row>
    <row r="29" spans="2:18" s="6" customFormat="1" ht="15" customHeight="1">
      <c r="B29" s="22"/>
      <c r="C29" s="23"/>
      <c r="D29" s="28" t="s">
        <v>37</v>
      </c>
      <c r="E29" s="28" t="s">
        <v>38</v>
      </c>
      <c r="F29" s="29">
        <v>0.21</v>
      </c>
      <c r="G29" s="98" t="s">
        <v>39</v>
      </c>
      <c r="H29" s="207">
        <f>ROUNDUP((((SUM($BE$96:$BE$103)+SUM($BE$121:$BE$175))+SUM($BE$177:$BE$181))),2)</f>
        <v>0</v>
      </c>
      <c r="I29" s="183"/>
      <c r="J29" s="183"/>
      <c r="K29" s="23"/>
      <c r="L29" s="23"/>
      <c r="M29" s="207">
        <f>ROUNDUP((((SUM($BE$96:$BE$103)+SUM($BE$121:$BE$175))*$F$29)+SUM($BE$177:$BE$181)*$F$29),1)</f>
        <v>0</v>
      </c>
      <c r="N29" s="183"/>
      <c r="O29" s="183"/>
      <c r="P29" s="183"/>
      <c r="Q29" s="23"/>
      <c r="R29" s="24"/>
    </row>
    <row r="30" spans="2:18" s="6" customFormat="1" ht="15" customHeight="1">
      <c r="B30" s="22"/>
      <c r="C30" s="23"/>
      <c r="D30" s="23"/>
      <c r="E30" s="28" t="s">
        <v>40</v>
      </c>
      <c r="F30" s="29">
        <v>0.15</v>
      </c>
      <c r="G30" s="98" t="s">
        <v>39</v>
      </c>
      <c r="H30" s="207">
        <f>ROUNDUP((((SUM($BF$96:$BF$103)+SUM($BF$121:$BF$175))+SUM($BF$177:$BF$181))),2)</f>
        <v>0</v>
      </c>
      <c r="I30" s="183"/>
      <c r="J30" s="183"/>
      <c r="K30" s="23"/>
      <c r="L30" s="23"/>
      <c r="M30" s="207">
        <f>ROUNDUP((((SUM($BF$96:$BF$103)+SUM($BF$121:$BF$175))*$F$30)+SUM($BF$177:$BF$181)*$F$30),1)</f>
        <v>0</v>
      </c>
      <c r="N30" s="183"/>
      <c r="O30" s="183"/>
      <c r="P30" s="183"/>
      <c r="Q30" s="23"/>
      <c r="R30" s="24"/>
    </row>
    <row r="31" spans="2:18" s="6" customFormat="1" ht="15" customHeight="1" hidden="1">
      <c r="B31" s="22"/>
      <c r="C31" s="23"/>
      <c r="D31" s="23"/>
      <c r="E31" s="28" t="s">
        <v>41</v>
      </c>
      <c r="F31" s="29">
        <v>0.21</v>
      </c>
      <c r="G31" s="98" t="s">
        <v>39</v>
      </c>
      <c r="H31" s="207">
        <f>ROUNDUP((((SUM($BG$96:$BG$103)+SUM($BG$121:$BG$175))+SUM($BG$177:$BG$181))),2)</f>
        <v>0</v>
      </c>
      <c r="I31" s="183"/>
      <c r="J31" s="183"/>
      <c r="K31" s="23"/>
      <c r="L31" s="23"/>
      <c r="M31" s="207">
        <v>0</v>
      </c>
      <c r="N31" s="183"/>
      <c r="O31" s="183"/>
      <c r="P31" s="183"/>
      <c r="Q31" s="23"/>
      <c r="R31" s="24"/>
    </row>
    <row r="32" spans="2:18" s="6" customFormat="1" ht="15" customHeight="1" hidden="1">
      <c r="B32" s="22"/>
      <c r="C32" s="23"/>
      <c r="D32" s="23"/>
      <c r="E32" s="28" t="s">
        <v>42</v>
      </c>
      <c r="F32" s="29">
        <v>0.15</v>
      </c>
      <c r="G32" s="98" t="s">
        <v>39</v>
      </c>
      <c r="H32" s="207">
        <f>ROUNDUP((((SUM($BH$96:$BH$103)+SUM($BH$121:$BH$175))+SUM($BH$177:$BH$181))),2)</f>
        <v>0</v>
      </c>
      <c r="I32" s="183"/>
      <c r="J32" s="183"/>
      <c r="K32" s="23"/>
      <c r="L32" s="23"/>
      <c r="M32" s="207">
        <v>0</v>
      </c>
      <c r="N32" s="183"/>
      <c r="O32" s="183"/>
      <c r="P32" s="183"/>
      <c r="Q32" s="23"/>
      <c r="R32" s="24"/>
    </row>
    <row r="33" spans="2:18" s="6" customFormat="1" ht="15" customHeight="1" hidden="1">
      <c r="B33" s="22"/>
      <c r="C33" s="23"/>
      <c r="D33" s="23"/>
      <c r="E33" s="28" t="s">
        <v>43</v>
      </c>
      <c r="F33" s="29">
        <v>0</v>
      </c>
      <c r="G33" s="98" t="s">
        <v>39</v>
      </c>
      <c r="H33" s="207">
        <f>ROUNDUP((((SUM($BI$96:$BI$103)+SUM($BI$121:$BI$175))+SUM($BI$177:$BI$181))),2)</f>
        <v>0</v>
      </c>
      <c r="I33" s="183"/>
      <c r="J33" s="183"/>
      <c r="K33" s="23"/>
      <c r="L33" s="23"/>
      <c r="M33" s="207">
        <v>0</v>
      </c>
      <c r="N33" s="183"/>
      <c r="O33" s="183"/>
      <c r="P33" s="183"/>
      <c r="Q33" s="23"/>
      <c r="R33" s="24"/>
    </row>
    <row r="34" spans="2:18" s="6" customFormat="1" ht="7.5" customHeight="1">
      <c r="B34" s="22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4"/>
    </row>
    <row r="35" spans="2:18" s="6" customFormat="1" ht="26.25" customHeight="1">
      <c r="B35" s="22"/>
      <c r="C35" s="32"/>
      <c r="D35" s="33" t="s">
        <v>44</v>
      </c>
      <c r="E35" s="34"/>
      <c r="F35" s="34"/>
      <c r="G35" s="99" t="s">
        <v>45</v>
      </c>
      <c r="H35" s="35" t="s">
        <v>46</v>
      </c>
      <c r="I35" s="34"/>
      <c r="J35" s="34"/>
      <c r="K35" s="34"/>
      <c r="L35" s="181">
        <f>ROUNDUP(SUM($M$27:$M$33),2)</f>
        <v>0</v>
      </c>
      <c r="M35" s="180"/>
      <c r="N35" s="180"/>
      <c r="O35" s="180"/>
      <c r="P35" s="182"/>
      <c r="Q35" s="32"/>
      <c r="R35" s="24"/>
    </row>
    <row r="36" spans="2:18" s="6" customFormat="1" ht="15" customHeight="1">
      <c r="B36" s="2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4"/>
    </row>
    <row r="37" spans="2:18" s="6" customFormat="1" ht="15" customHeight="1">
      <c r="B37" s="22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4"/>
    </row>
    <row r="38" spans="2:18" s="2" customFormat="1" ht="14.25" customHeight="1">
      <c r="B38" s="10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2"/>
    </row>
    <row r="39" spans="2:18" s="2" customFormat="1" ht="14.25" customHeight="1">
      <c r="B39" s="10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2"/>
    </row>
    <row r="40" spans="2:18" s="2" customFormat="1" ht="14.25" customHeight="1">
      <c r="B40" s="10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2"/>
    </row>
    <row r="41" spans="2:18" s="2" customFormat="1" ht="14.25" customHeight="1">
      <c r="B41" s="10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2"/>
    </row>
    <row r="42" spans="2:18" s="2" customFormat="1" ht="14.25" customHeight="1">
      <c r="B42" s="10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2"/>
    </row>
    <row r="43" spans="2:18" s="2" customFormat="1" ht="14.25" customHeight="1">
      <c r="B43" s="10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2"/>
    </row>
    <row r="44" spans="2:18" s="2" customFormat="1" ht="14.25" customHeight="1">
      <c r="B44" s="10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2"/>
    </row>
    <row r="45" spans="2:18" s="2" customFormat="1" ht="14.25" customHeight="1">
      <c r="B45" s="10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2"/>
    </row>
    <row r="46" spans="2:18" s="2" customFormat="1" ht="14.25" customHeight="1">
      <c r="B46" s="10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2"/>
    </row>
    <row r="47" spans="2:18" s="2" customFormat="1" ht="14.25" customHeight="1">
      <c r="B47" s="10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2"/>
    </row>
    <row r="48" spans="2:18" s="2" customFormat="1" ht="14.25" customHeight="1">
      <c r="B48" s="10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2"/>
    </row>
    <row r="49" spans="2:18" s="2" customFormat="1" ht="14.25" customHeight="1">
      <c r="B49" s="10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2"/>
    </row>
    <row r="50" spans="2:18" s="6" customFormat="1" ht="15.75" customHeight="1">
      <c r="B50" s="22"/>
      <c r="C50" s="23"/>
      <c r="D50" s="36" t="s">
        <v>47</v>
      </c>
      <c r="E50" s="37"/>
      <c r="F50" s="37"/>
      <c r="G50" s="37"/>
      <c r="H50" s="38"/>
      <c r="I50" s="23"/>
      <c r="J50" s="36" t="s">
        <v>48</v>
      </c>
      <c r="K50" s="37"/>
      <c r="L50" s="37"/>
      <c r="M50" s="37"/>
      <c r="N50" s="37"/>
      <c r="O50" s="37"/>
      <c r="P50" s="38"/>
      <c r="Q50" s="23"/>
      <c r="R50" s="24"/>
    </row>
    <row r="51" spans="2:18" s="2" customFormat="1" ht="14.25" customHeight="1">
      <c r="B51" s="10"/>
      <c r="C51" s="11"/>
      <c r="D51" s="39"/>
      <c r="E51" s="11"/>
      <c r="F51" s="11"/>
      <c r="G51" s="11"/>
      <c r="H51" s="40"/>
      <c r="I51" s="11"/>
      <c r="J51" s="39"/>
      <c r="K51" s="11"/>
      <c r="L51" s="11"/>
      <c r="M51" s="11"/>
      <c r="N51" s="11"/>
      <c r="O51" s="11"/>
      <c r="P51" s="40"/>
      <c r="Q51" s="11"/>
      <c r="R51" s="12"/>
    </row>
    <row r="52" spans="2:18" s="2" customFormat="1" ht="14.25" customHeight="1">
      <c r="B52" s="10"/>
      <c r="C52" s="11"/>
      <c r="D52" s="39"/>
      <c r="E52" s="11"/>
      <c r="F52" s="11"/>
      <c r="G52" s="11"/>
      <c r="H52" s="40"/>
      <c r="I52" s="11"/>
      <c r="J52" s="39"/>
      <c r="K52" s="11"/>
      <c r="L52" s="11"/>
      <c r="M52" s="11"/>
      <c r="N52" s="11"/>
      <c r="O52" s="11"/>
      <c r="P52" s="40"/>
      <c r="Q52" s="11"/>
      <c r="R52" s="12"/>
    </row>
    <row r="53" spans="2:18" s="2" customFormat="1" ht="14.25" customHeight="1">
      <c r="B53" s="10"/>
      <c r="C53" s="11"/>
      <c r="D53" s="39"/>
      <c r="E53" s="11"/>
      <c r="F53" s="11"/>
      <c r="G53" s="11"/>
      <c r="H53" s="40"/>
      <c r="I53" s="11"/>
      <c r="J53" s="39"/>
      <c r="K53" s="11"/>
      <c r="L53" s="11"/>
      <c r="M53" s="11"/>
      <c r="N53" s="11"/>
      <c r="O53" s="11"/>
      <c r="P53" s="40"/>
      <c r="Q53" s="11"/>
      <c r="R53" s="12"/>
    </row>
    <row r="54" spans="2:18" s="2" customFormat="1" ht="14.25" customHeight="1">
      <c r="B54" s="10"/>
      <c r="C54" s="11"/>
      <c r="D54" s="39"/>
      <c r="E54" s="11"/>
      <c r="F54" s="11"/>
      <c r="G54" s="11"/>
      <c r="H54" s="40"/>
      <c r="I54" s="11"/>
      <c r="J54" s="39"/>
      <c r="K54" s="11"/>
      <c r="L54" s="11"/>
      <c r="M54" s="11"/>
      <c r="N54" s="11"/>
      <c r="O54" s="11"/>
      <c r="P54" s="40"/>
      <c r="Q54" s="11"/>
      <c r="R54" s="12"/>
    </row>
    <row r="55" spans="2:18" s="2" customFormat="1" ht="14.25" customHeight="1">
      <c r="B55" s="10"/>
      <c r="C55" s="11"/>
      <c r="D55" s="39"/>
      <c r="E55" s="11"/>
      <c r="F55" s="11"/>
      <c r="G55" s="11"/>
      <c r="H55" s="40"/>
      <c r="I55" s="11"/>
      <c r="J55" s="39"/>
      <c r="K55" s="11"/>
      <c r="L55" s="11"/>
      <c r="M55" s="11"/>
      <c r="N55" s="11"/>
      <c r="O55" s="11"/>
      <c r="P55" s="40"/>
      <c r="Q55" s="11"/>
      <c r="R55" s="12"/>
    </row>
    <row r="56" spans="2:18" s="2" customFormat="1" ht="14.25" customHeight="1">
      <c r="B56" s="10"/>
      <c r="C56" s="11"/>
      <c r="D56" s="39"/>
      <c r="E56" s="11"/>
      <c r="F56" s="11"/>
      <c r="G56" s="11"/>
      <c r="H56" s="40"/>
      <c r="I56" s="11"/>
      <c r="J56" s="39"/>
      <c r="K56" s="11"/>
      <c r="L56" s="11"/>
      <c r="M56" s="11"/>
      <c r="N56" s="11"/>
      <c r="O56" s="11"/>
      <c r="P56" s="40"/>
      <c r="Q56" s="11"/>
      <c r="R56" s="12"/>
    </row>
    <row r="57" spans="2:18" s="2" customFormat="1" ht="14.25" customHeight="1">
      <c r="B57" s="10"/>
      <c r="C57" s="11"/>
      <c r="D57" s="39"/>
      <c r="E57" s="11"/>
      <c r="F57" s="11"/>
      <c r="G57" s="11"/>
      <c r="H57" s="40"/>
      <c r="I57" s="11"/>
      <c r="J57" s="39"/>
      <c r="K57" s="11"/>
      <c r="L57" s="11"/>
      <c r="M57" s="11"/>
      <c r="N57" s="11"/>
      <c r="O57" s="11"/>
      <c r="P57" s="40"/>
      <c r="Q57" s="11"/>
      <c r="R57" s="12"/>
    </row>
    <row r="58" spans="2:18" s="2" customFormat="1" ht="14.25" customHeight="1">
      <c r="B58" s="10"/>
      <c r="C58" s="11"/>
      <c r="D58" s="39"/>
      <c r="E58" s="11"/>
      <c r="F58" s="11"/>
      <c r="G58" s="11"/>
      <c r="H58" s="40"/>
      <c r="I58" s="11"/>
      <c r="J58" s="39"/>
      <c r="K58" s="11"/>
      <c r="L58" s="11"/>
      <c r="M58" s="11"/>
      <c r="N58" s="11"/>
      <c r="O58" s="11"/>
      <c r="P58" s="40"/>
      <c r="Q58" s="11"/>
      <c r="R58" s="12"/>
    </row>
    <row r="59" spans="2:18" s="6" customFormat="1" ht="15.75" customHeight="1">
      <c r="B59" s="22"/>
      <c r="C59" s="23"/>
      <c r="D59" s="41" t="s">
        <v>49</v>
      </c>
      <c r="E59" s="42"/>
      <c r="F59" s="42"/>
      <c r="G59" s="43" t="s">
        <v>50</v>
      </c>
      <c r="H59" s="44"/>
      <c r="I59" s="23"/>
      <c r="J59" s="41" t="s">
        <v>49</v>
      </c>
      <c r="K59" s="42"/>
      <c r="L59" s="42"/>
      <c r="M59" s="42"/>
      <c r="N59" s="43" t="s">
        <v>50</v>
      </c>
      <c r="O59" s="42"/>
      <c r="P59" s="44"/>
      <c r="Q59" s="23"/>
      <c r="R59" s="24"/>
    </row>
    <row r="60" spans="2:18" s="2" customFormat="1" ht="14.25" customHeight="1">
      <c r="B60" s="10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2"/>
    </row>
    <row r="61" spans="2:18" s="6" customFormat="1" ht="15.75" customHeight="1">
      <c r="B61" s="22"/>
      <c r="C61" s="23"/>
      <c r="D61" s="36" t="s">
        <v>51</v>
      </c>
      <c r="E61" s="37"/>
      <c r="F61" s="37"/>
      <c r="G61" s="37"/>
      <c r="H61" s="38"/>
      <c r="I61" s="23"/>
      <c r="J61" s="36" t="s">
        <v>52</v>
      </c>
      <c r="K61" s="37"/>
      <c r="L61" s="37"/>
      <c r="M61" s="37"/>
      <c r="N61" s="37"/>
      <c r="O61" s="37"/>
      <c r="P61" s="38"/>
      <c r="Q61" s="23"/>
      <c r="R61" s="24"/>
    </row>
    <row r="62" spans="2:18" s="2" customFormat="1" ht="14.25" customHeight="1">
      <c r="B62" s="10"/>
      <c r="C62" s="11"/>
      <c r="D62" s="39"/>
      <c r="E62" s="11"/>
      <c r="F62" s="11"/>
      <c r="G62" s="11"/>
      <c r="H62" s="40"/>
      <c r="I62" s="11"/>
      <c r="J62" s="39"/>
      <c r="K62" s="11"/>
      <c r="L62" s="11"/>
      <c r="M62" s="11"/>
      <c r="N62" s="11"/>
      <c r="O62" s="11"/>
      <c r="P62" s="40"/>
      <c r="Q62" s="11"/>
      <c r="R62" s="12"/>
    </row>
    <row r="63" spans="2:18" s="2" customFormat="1" ht="14.25" customHeight="1">
      <c r="B63" s="10"/>
      <c r="C63" s="11"/>
      <c r="D63" s="39"/>
      <c r="E63" s="11"/>
      <c r="F63" s="11"/>
      <c r="G63" s="11"/>
      <c r="H63" s="40"/>
      <c r="I63" s="11"/>
      <c r="J63" s="39"/>
      <c r="K63" s="11"/>
      <c r="L63" s="11"/>
      <c r="M63" s="11"/>
      <c r="N63" s="11"/>
      <c r="O63" s="11"/>
      <c r="P63" s="40"/>
      <c r="Q63" s="11"/>
      <c r="R63" s="12"/>
    </row>
    <row r="64" spans="2:18" s="2" customFormat="1" ht="14.25" customHeight="1">
      <c r="B64" s="10"/>
      <c r="C64" s="11"/>
      <c r="D64" s="39"/>
      <c r="E64" s="11"/>
      <c r="F64" s="11"/>
      <c r="G64" s="11"/>
      <c r="H64" s="40"/>
      <c r="I64" s="11"/>
      <c r="J64" s="39"/>
      <c r="K64" s="11"/>
      <c r="L64" s="11"/>
      <c r="M64" s="11"/>
      <c r="N64" s="11"/>
      <c r="O64" s="11"/>
      <c r="P64" s="40"/>
      <c r="Q64" s="11"/>
      <c r="R64" s="12"/>
    </row>
    <row r="65" spans="2:18" s="2" customFormat="1" ht="14.25" customHeight="1">
      <c r="B65" s="10"/>
      <c r="C65" s="11"/>
      <c r="D65" s="39"/>
      <c r="E65" s="11"/>
      <c r="F65" s="11"/>
      <c r="G65" s="11"/>
      <c r="H65" s="40"/>
      <c r="I65" s="11"/>
      <c r="J65" s="39"/>
      <c r="K65" s="11"/>
      <c r="L65" s="11"/>
      <c r="M65" s="11"/>
      <c r="N65" s="11"/>
      <c r="O65" s="11"/>
      <c r="P65" s="40"/>
      <c r="Q65" s="11"/>
      <c r="R65" s="12"/>
    </row>
    <row r="66" spans="2:18" s="2" customFormat="1" ht="14.25" customHeight="1">
      <c r="B66" s="10"/>
      <c r="C66" s="11"/>
      <c r="D66" s="39"/>
      <c r="E66" s="11"/>
      <c r="F66" s="11"/>
      <c r="G66" s="11"/>
      <c r="H66" s="40"/>
      <c r="I66" s="11"/>
      <c r="J66" s="39"/>
      <c r="K66" s="11"/>
      <c r="L66" s="11"/>
      <c r="M66" s="11"/>
      <c r="N66" s="11"/>
      <c r="O66" s="11"/>
      <c r="P66" s="40"/>
      <c r="Q66" s="11"/>
      <c r="R66" s="12"/>
    </row>
    <row r="67" spans="2:18" s="2" customFormat="1" ht="14.25" customHeight="1">
      <c r="B67" s="10"/>
      <c r="C67" s="11"/>
      <c r="D67" s="39"/>
      <c r="E67" s="11"/>
      <c r="F67" s="11"/>
      <c r="G67" s="11"/>
      <c r="H67" s="40"/>
      <c r="I67" s="11"/>
      <c r="J67" s="39"/>
      <c r="K67" s="11"/>
      <c r="L67" s="11"/>
      <c r="M67" s="11"/>
      <c r="N67" s="11"/>
      <c r="O67" s="11"/>
      <c r="P67" s="40"/>
      <c r="Q67" s="11"/>
      <c r="R67" s="12"/>
    </row>
    <row r="68" spans="2:18" s="2" customFormat="1" ht="14.25" customHeight="1">
      <c r="B68" s="10"/>
      <c r="C68" s="11"/>
      <c r="D68" s="39"/>
      <c r="E68" s="11"/>
      <c r="F68" s="11"/>
      <c r="G68" s="11"/>
      <c r="H68" s="40"/>
      <c r="I68" s="11"/>
      <c r="J68" s="39"/>
      <c r="K68" s="11"/>
      <c r="L68" s="11"/>
      <c r="M68" s="11"/>
      <c r="N68" s="11"/>
      <c r="O68" s="11"/>
      <c r="P68" s="40"/>
      <c r="Q68" s="11"/>
      <c r="R68" s="12"/>
    </row>
    <row r="69" spans="2:18" s="2" customFormat="1" ht="14.25" customHeight="1">
      <c r="B69" s="10"/>
      <c r="C69" s="11"/>
      <c r="D69" s="39"/>
      <c r="E69" s="11"/>
      <c r="F69" s="11"/>
      <c r="G69" s="11"/>
      <c r="H69" s="40"/>
      <c r="I69" s="11"/>
      <c r="J69" s="39"/>
      <c r="K69" s="11"/>
      <c r="L69" s="11"/>
      <c r="M69" s="11"/>
      <c r="N69" s="11"/>
      <c r="O69" s="11"/>
      <c r="P69" s="40"/>
      <c r="Q69" s="11"/>
      <c r="R69" s="12"/>
    </row>
    <row r="70" spans="2:18" s="6" customFormat="1" ht="15.75" customHeight="1">
      <c r="B70" s="22"/>
      <c r="C70" s="23"/>
      <c r="D70" s="41" t="s">
        <v>49</v>
      </c>
      <c r="E70" s="42"/>
      <c r="F70" s="42"/>
      <c r="G70" s="43" t="s">
        <v>50</v>
      </c>
      <c r="H70" s="44"/>
      <c r="I70" s="23"/>
      <c r="J70" s="41" t="s">
        <v>49</v>
      </c>
      <c r="K70" s="42"/>
      <c r="L70" s="42"/>
      <c r="M70" s="42"/>
      <c r="N70" s="43" t="s">
        <v>50</v>
      </c>
      <c r="O70" s="42"/>
      <c r="P70" s="44"/>
      <c r="Q70" s="23"/>
      <c r="R70" s="24"/>
    </row>
    <row r="71" spans="2:18" s="6" customFormat="1" ht="15" customHeight="1">
      <c r="B71" s="45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7"/>
    </row>
    <row r="75" spans="2:18" s="6" customFormat="1" ht="7.5" customHeight="1">
      <c r="B75" s="100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2"/>
    </row>
    <row r="76" spans="2:21" s="6" customFormat="1" ht="37.5" customHeight="1">
      <c r="B76" s="22"/>
      <c r="C76" s="166" t="s">
        <v>109</v>
      </c>
      <c r="D76" s="183"/>
      <c r="E76" s="183"/>
      <c r="F76" s="183"/>
      <c r="G76" s="183"/>
      <c r="H76" s="183"/>
      <c r="I76" s="183"/>
      <c r="J76" s="183"/>
      <c r="K76" s="183"/>
      <c r="L76" s="183"/>
      <c r="M76" s="183"/>
      <c r="N76" s="183"/>
      <c r="O76" s="183"/>
      <c r="P76" s="183"/>
      <c r="Q76" s="183"/>
      <c r="R76" s="24"/>
      <c r="T76" s="23"/>
      <c r="U76" s="23"/>
    </row>
    <row r="77" spans="2:21" s="6" customFormat="1" ht="7.5" customHeight="1">
      <c r="B77" s="22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4"/>
      <c r="T77" s="23"/>
      <c r="U77" s="23"/>
    </row>
    <row r="78" spans="2:21" s="6" customFormat="1" ht="15" customHeight="1">
      <c r="B78" s="22"/>
      <c r="C78" s="16" t="s">
        <v>14</v>
      </c>
      <c r="D78" s="23"/>
      <c r="E78" s="23"/>
      <c r="F78" s="203" t="str">
        <f>$F$6</f>
        <v>0251-15 - Podkrušnohorská nemocnice následné péče, ul.Podkrušnohorská 638, litvínov - stavební úpravy v 1.N.P.</v>
      </c>
      <c r="G78" s="183"/>
      <c r="H78" s="183"/>
      <c r="I78" s="183"/>
      <c r="J78" s="183"/>
      <c r="K78" s="183"/>
      <c r="L78" s="183"/>
      <c r="M78" s="183"/>
      <c r="N78" s="183"/>
      <c r="O78" s="183"/>
      <c r="P78" s="183"/>
      <c r="Q78" s="23"/>
      <c r="R78" s="24"/>
      <c r="T78" s="23"/>
      <c r="U78" s="23"/>
    </row>
    <row r="79" spans="2:21" s="6" customFormat="1" ht="15" customHeight="1">
      <c r="B79" s="22"/>
      <c r="C79" s="15" t="s">
        <v>105</v>
      </c>
      <c r="D79" s="23"/>
      <c r="E79" s="23"/>
      <c r="F79" s="171" t="str">
        <f>$F$7</f>
        <v>0251-zti - D.1.4.b - Zdravotní instalace</v>
      </c>
      <c r="G79" s="183"/>
      <c r="H79" s="183"/>
      <c r="I79" s="183"/>
      <c r="J79" s="183"/>
      <c r="K79" s="183"/>
      <c r="L79" s="183"/>
      <c r="M79" s="183"/>
      <c r="N79" s="183"/>
      <c r="O79" s="183"/>
      <c r="P79" s="183"/>
      <c r="Q79" s="23"/>
      <c r="R79" s="24"/>
      <c r="T79" s="23"/>
      <c r="U79" s="23"/>
    </row>
    <row r="80" spans="2:21" s="6" customFormat="1" ht="7.5" customHeight="1">
      <c r="B80" s="22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4"/>
      <c r="T80" s="23"/>
      <c r="U80" s="23"/>
    </row>
    <row r="81" spans="2:21" s="6" customFormat="1" ht="18.75" customHeight="1">
      <c r="B81" s="22"/>
      <c r="C81" s="16" t="s">
        <v>18</v>
      </c>
      <c r="D81" s="23"/>
      <c r="E81" s="23"/>
      <c r="F81" s="17" t="str">
        <f>$F$9</f>
        <v> </v>
      </c>
      <c r="G81" s="23"/>
      <c r="H81" s="23"/>
      <c r="I81" s="23"/>
      <c r="J81" s="23"/>
      <c r="K81" s="16" t="s">
        <v>20</v>
      </c>
      <c r="L81" s="23"/>
      <c r="M81" s="208" t="str">
        <f>IF($O$9="","",$O$9)</f>
        <v>13.11.2015</v>
      </c>
      <c r="N81" s="183"/>
      <c r="O81" s="183"/>
      <c r="P81" s="183"/>
      <c r="Q81" s="23"/>
      <c r="R81" s="24"/>
      <c r="T81" s="23"/>
      <c r="U81" s="23"/>
    </row>
    <row r="82" spans="2:21" s="6" customFormat="1" ht="7.5" customHeight="1"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4"/>
      <c r="T82" s="23"/>
      <c r="U82" s="23"/>
    </row>
    <row r="83" spans="2:21" s="6" customFormat="1" ht="15.75" customHeight="1">
      <c r="B83" s="22"/>
      <c r="C83" s="16" t="s">
        <v>24</v>
      </c>
      <c r="D83" s="23"/>
      <c r="E83" s="23"/>
      <c r="F83" s="17" t="str">
        <f>$E$12</f>
        <v>KPlL s.r.o., ul.Žižkova 151, Litvínov</v>
      </c>
      <c r="G83" s="23"/>
      <c r="H83" s="23"/>
      <c r="I83" s="23"/>
      <c r="J83" s="23"/>
      <c r="K83" s="16" t="s">
        <v>30</v>
      </c>
      <c r="L83" s="23"/>
      <c r="M83" s="184" t="str">
        <f>$E$18</f>
        <v>VPH s.r.o.</v>
      </c>
      <c r="N83" s="183"/>
      <c r="O83" s="183"/>
      <c r="P83" s="183"/>
      <c r="Q83" s="183"/>
      <c r="R83" s="24"/>
      <c r="T83" s="23"/>
      <c r="U83" s="23"/>
    </row>
    <row r="84" spans="2:21" s="6" customFormat="1" ht="15" customHeight="1">
      <c r="B84" s="22"/>
      <c r="C84" s="16" t="s">
        <v>28</v>
      </c>
      <c r="D84" s="23"/>
      <c r="E84" s="23"/>
      <c r="F84" s="17" t="str">
        <f>IF($E$15="","",$E$15)</f>
        <v>Vyplň údaj</v>
      </c>
      <c r="G84" s="23"/>
      <c r="H84" s="23"/>
      <c r="I84" s="23"/>
      <c r="J84" s="23"/>
      <c r="K84" s="16" t="s">
        <v>33</v>
      </c>
      <c r="L84" s="23"/>
      <c r="M84" s="184" t="str">
        <f>$E$21</f>
        <v>Vlasáková Alena</v>
      </c>
      <c r="N84" s="183"/>
      <c r="O84" s="183"/>
      <c r="P84" s="183"/>
      <c r="Q84" s="183"/>
      <c r="R84" s="24"/>
      <c r="T84" s="23"/>
      <c r="U84" s="23"/>
    </row>
    <row r="85" spans="2:21" s="6" customFormat="1" ht="11.25" customHeight="1">
      <c r="B85" s="22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4"/>
      <c r="T85" s="23"/>
      <c r="U85" s="23"/>
    </row>
    <row r="86" spans="2:21" s="6" customFormat="1" ht="30" customHeight="1">
      <c r="B86" s="22"/>
      <c r="C86" s="209" t="s">
        <v>110</v>
      </c>
      <c r="D86" s="201"/>
      <c r="E86" s="201"/>
      <c r="F86" s="201"/>
      <c r="G86" s="201"/>
      <c r="H86" s="32"/>
      <c r="I86" s="32"/>
      <c r="J86" s="32"/>
      <c r="K86" s="32"/>
      <c r="L86" s="32"/>
      <c r="M86" s="32"/>
      <c r="N86" s="209" t="s">
        <v>111</v>
      </c>
      <c r="O86" s="183"/>
      <c r="P86" s="183"/>
      <c r="Q86" s="183"/>
      <c r="R86" s="24"/>
      <c r="T86" s="23"/>
      <c r="U86" s="23"/>
    </row>
    <row r="87" spans="2:21" s="6" customFormat="1" ht="11.25" customHeight="1">
      <c r="B87" s="22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4"/>
      <c r="T87" s="23"/>
      <c r="U87" s="23"/>
    </row>
    <row r="88" spans="2:47" s="6" customFormat="1" ht="30" customHeight="1">
      <c r="B88" s="22"/>
      <c r="C88" s="66" t="s">
        <v>112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198">
        <f>ROUNDUP($N$121,2)</f>
        <v>0</v>
      </c>
      <c r="O88" s="183"/>
      <c r="P88" s="183"/>
      <c r="Q88" s="183"/>
      <c r="R88" s="24"/>
      <c r="T88" s="23"/>
      <c r="U88" s="23"/>
      <c r="AU88" s="6" t="s">
        <v>113</v>
      </c>
    </row>
    <row r="89" spans="2:21" s="71" customFormat="1" ht="25.5" customHeight="1">
      <c r="B89" s="103"/>
      <c r="C89" s="104"/>
      <c r="D89" s="104" t="s">
        <v>114</v>
      </c>
      <c r="E89" s="104"/>
      <c r="F89" s="104"/>
      <c r="G89" s="104"/>
      <c r="H89" s="104"/>
      <c r="I89" s="104"/>
      <c r="J89" s="104"/>
      <c r="K89" s="104"/>
      <c r="L89" s="104"/>
      <c r="M89" s="104"/>
      <c r="N89" s="210">
        <f>ROUNDUP($N$122,2)</f>
        <v>0</v>
      </c>
      <c r="O89" s="211"/>
      <c r="P89" s="211"/>
      <c r="Q89" s="211"/>
      <c r="R89" s="105"/>
      <c r="T89" s="104"/>
      <c r="U89" s="104"/>
    </row>
    <row r="90" spans="2:21" s="106" customFormat="1" ht="21" customHeight="1">
      <c r="B90" s="107"/>
      <c r="C90" s="84"/>
      <c r="D90" s="84" t="s">
        <v>115</v>
      </c>
      <c r="E90" s="84"/>
      <c r="F90" s="84"/>
      <c r="G90" s="84"/>
      <c r="H90" s="84"/>
      <c r="I90" s="84"/>
      <c r="J90" s="84"/>
      <c r="K90" s="84"/>
      <c r="L90" s="84"/>
      <c r="M90" s="84"/>
      <c r="N90" s="196">
        <f>ROUNDUP($N$123,2)</f>
        <v>0</v>
      </c>
      <c r="O90" s="212"/>
      <c r="P90" s="212"/>
      <c r="Q90" s="212"/>
      <c r="R90" s="108"/>
      <c r="T90" s="84"/>
      <c r="U90" s="84"/>
    </row>
    <row r="91" spans="2:21" s="106" customFormat="1" ht="21" customHeight="1">
      <c r="B91" s="107"/>
      <c r="C91" s="84"/>
      <c r="D91" s="84" t="s">
        <v>116</v>
      </c>
      <c r="E91" s="84"/>
      <c r="F91" s="84"/>
      <c r="G91" s="84"/>
      <c r="H91" s="84"/>
      <c r="I91" s="84"/>
      <c r="J91" s="84"/>
      <c r="K91" s="84"/>
      <c r="L91" s="84"/>
      <c r="M91" s="84"/>
      <c r="N91" s="196">
        <f>ROUNDUP($N$140,2)</f>
        <v>0</v>
      </c>
      <c r="O91" s="212"/>
      <c r="P91" s="212"/>
      <c r="Q91" s="212"/>
      <c r="R91" s="108"/>
      <c r="T91" s="84"/>
      <c r="U91" s="84"/>
    </row>
    <row r="92" spans="2:21" s="106" customFormat="1" ht="21" customHeight="1">
      <c r="B92" s="107"/>
      <c r="C92" s="84"/>
      <c r="D92" s="84" t="s">
        <v>117</v>
      </c>
      <c r="E92" s="84"/>
      <c r="F92" s="84"/>
      <c r="G92" s="84"/>
      <c r="H92" s="84"/>
      <c r="I92" s="84"/>
      <c r="J92" s="84"/>
      <c r="K92" s="84"/>
      <c r="L92" s="84"/>
      <c r="M92" s="84"/>
      <c r="N92" s="196">
        <f>ROUNDUP($N$158,2)</f>
        <v>0</v>
      </c>
      <c r="O92" s="212"/>
      <c r="P92" s="212"/>
      <c r="Q92" s="212"/>
      <c r="R92" s="108"/>
      <c r="T92" s="84"/>
      <c r="U92" s="84"/>
    </row>
    <row r="93" spans="2:21" s="106" customFormat="1" ht="21" customHeight="1">
      <c r="B93" s="107"/>
      <c r="C93" s="84"/>
      <c r="D93" s="84" t="s">
        <v>118</v>
      </c>
      <c r="E93" s="84"/>
      <c r="F93" s="84"/>
      <c r="G93" s="84"/>
      <c r="H93" s="84"/>
      <c r="I93" s="84"/>
      <c r="J93" s="84"/>
      <c r="K93" s="84"/>
      <c r="L93" s="84"/>
      <c r="M93" s="84"/>
      <c r="N93" s="196">
        <f>ROUNDUP($N$159,2)</f>
        <v>0</v>
      </c>
      <c r="O93" s="212"/>
      <c r="P93" s="212"/>
      <c r="Q93" s="212"/>
      <c r="R93" s="108"/>
      <c r="T93" s="84"/>
      <c r="U93" s="84"/>
    </row>
    <row r="94" spans="2:21" s="71" customFormat="1" ht="22.5" customHeight="1">
      <c r="B94" s="103"/>
      <c r="C94" s="104"/>
      <c r="D94" s="104" t="s">
        <v>119</v>
      </c>
      <c r="E94" s="104"/>
      <c r="F94" s="104"/>
      <c r="G94" s="104"/>
      <c r="H94" s="104"/>
      <c r="I94" s="104"/>
      <c r="J94" s="104"/>
      <c r="K94" s="104"/>
      <c r="L94" s="104"/>
      <c r="M94" s="104"/>
      <c r="N94" s="213">
        <f>$N$176</f>
        <v>0</v>
      </c>
      <c r="O94" s="211"/>
      <c r="P94" s="211"/>
      <c r="Q94" s="211"/>
      <c r="R94" s="105"/>
      <c r="T94" s="104"/>
      <c r="U94" s="104"/>
    </row>
    <row r="95" spans="2:21" s="6" customFormat="1" ht="22.5" customHeight="1">
      <c r="B95" s="22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4"/>
      <c r="T95" s="23"/>
      <c r="U95" s="23"/>
    </row>
    <row r="96" spans="2:21" s="6" customFormat="1" ht="30" customHeight="1">
      <c r="B96" s="22"/>
      <c r="C96" s="66" t="s">
        <v>120</v>
      </c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198">
        <f>ROUNDUP($N$97+$N$98+$N$99+$N$100+$N$101+$N$102,2)</f>
        <v>0</v>
      </c>
      <c r="O96" s="183"/>
      <c r="P96" s="183"/>
      <c r="Q96" s="183"/>
      <c r="R96" s="24"/>
      <c r="T96" s="109"/>
      <c r="U96" s="110" t="s">
        <v>37</v>
      </c>
    </row>
    <row r="97" spans="2:62" s="6" customFormat="1" ht="18.75" customHeight="1">
      <c r="B97" s="22"/>
      <c r="C97" s="23"/>
      <c r="D97" s="197" t="s">
        <v>121</v>
      </c>
      <c r="E97" s="183"/>
      <c r="F97" s="183"/>
      <c r="G97" s="183"/>
      <c r="H97" s="183"/>
      <c r="I97" s="23"/>
      <c r="J97" s="23"/>
      <c r="K97" s="23"/>
      <c r="L97" s="23"/>
      <c r="M97" s="23"/>
      <c r="N97" s="195">
        <f>ROUNDUP($N$88*$T$97,2)</f>
        <v>0</v>
      </c>
      <c r="O97" s="183"/>
      <c r="P97" s="183"/>
      <c r="Q97" s="183"/>
      <c r="R97" s="24"/>
      <c r="T97" s="111"/>
      <c r="U97" s="112" t="s">
        <v>38</v>
      </c>
      <c r="AY97" s="6" t="s">
        <v>122</v>
      </c>
      <c r="BE97" s="88">
        <f>IF($U$97="základní",$N$97,0)</f>
        <v>0</v>
      </c>
      <c r="BF97" s="88">
        <f>IF($U$97="snížená",$N$97,0)</f>
        <v>0</v>
      </c>
      <c r="BG97" s="88">
        <f>IF($U$97="zákl. přenesená",$N$97,0)</f>
        <v>0</v>
      </c>
      <c r="BH97" s="88">
        <f>IF($U$97="sníž. přenesená",$N$97,0)</f>
        <v>0</v>
      </c>
      <c r="BI97" s="88">
        <f>IF($U$97="nulová",$N$97,0)</f>
        <v>0</v>
      </c>
      <c r="BJ97" s="6" t="s">
        <v>17</v>
      </c>
    </row>
    <row r="98" spans="2:62" s="6" customFormat="1" ht="18.75" customHeight="1">
      <c r="B98" s="22"/>
      <c r="C98" s="23"/>
      <c r="D98" s="197" t="s">
        <v>123</v>
      </c>
      <c r="E98" s="183"/>
      <c r="F98" s="183"/>
      <c r="G98" s="183"/>
      <c r="H98" s="183"/>
      <c r="I98" s="23"/>
      <c r="J98" s="23"/>
      <c r="K98" s="23"/>
      <c r="L98" s="23"/>
      <c r="M98" s="23"/>
      <c r="N98" s="195">
        <f>ROUNDUP($N$88*$T$98,2)</f>
        <v>0</v>
      </c>
      <c r="O98" s="183"/>
      <c r="P98" s="183"/>
      <c r="Q98" s="183"/>
      <c r="R98" s="24"/>
      <c r="T98" s="111"/>
      <c r="U98" s="112" t="s">
        <v>38</v>
      </c>
      <c r="AY98" s="6" t="s">
        <v>122</v>
      </c>
      <c r="BE98" s="88">
        <f>IF($U$98="základní",$N$98,0)</f>
        <v>0</v>
      </c>
      <c r="BF98" s="88">
        <f>IF($U$98="snížená",$N$98,0)</f>
        <v>0</v>
      </c>
      <c r="BG98" s="88">
        <f>IF($U$98="zákl. přenesená",$N$98,0)</f>
        <v>0</v>
      </c>
      <c r="BH98" s="88">
        <f>IF($U$98="sníž. přenesená",$N$98,0)</f>
        <v>0</v>
      </c>
      <c r="BI98" s="88">
        <f>IF($U$98="nulová",$N$98,0)</f>
        <v>0</v>
      </c>
      <c r="BJ98" s="6" t="s">
        <v>17</v>
      </c>
    </row>
    <row r="99" spans="2:62" s="6" customFormat="1" ht="18.75" customHeight="1">
      <c r="B99" s="22"/>
      <c r="C99" s="23"/>
      <c r="D99" s="197" t="s">
        <v>124</v>
      </c>
      <c r="E99" s="183"/>
      <c r="F99" s="183"/>
      <c r="G99" s="183"/>
      <c r="H99" s="183"/>
      <c r="I99" s="23"/>
      <c r="J99" s="23"/>
      <c r="K99" s="23"/>
      <c r="L99" s="23"/>
      <c r="M99" s="23"/>
      <c r="N99" s="195">
        <f>ROUNDUP($N$88*$T$99,2)</f>
        <v>0</v>
      </c>
      <c r="O99" s="183"/>
      <c r="P99" s="183"/>
      <c r="Q99" s="183"/>
      <c r="R99" s="24"/>
      <c r="T99" s="111"/>
      <c r="U99" s="112" t="s">
        <v>38</v>
      </c>
      <c r="AY99" s="6" t="s">
        <v>122</v>
      </c>
      <c r="BE99" s="88">
        <f>IF($U$99="základní",$N$99,0)</f>
        <v>0</v>
      </c>
      <c r="BF99" s="88">
        <f>IF($U$99="snížená",$N$99,0)</f>
        <v>0</v>
      </c>
      <c r="BG99" s="88">
        <f>IF($U$99="zákl. přenesená",$N$99,0)</f>
        <v>0</v>
      </c>
      <c r="BH99" s="88">
        <f>IF($U$99="sníž. přenesená",$N$99,0)</f>
        <v>0</v>
      </c>
      <c r="BI99" s="88">
        <f>IF($U$99="nulová",$N$99,0)</f>
        <v>0</v>
      </c>
      <c r="BJ99" s="6" t="s">
        <v>17</v>
      </c>
    </row>
    <row r="100" spans="2:62" s="6" customFormat="1" ht="18.75" customHeight="1">
      <c r="B100" s="22"/>
      <c r="C100" s="23"/>
      <c r="D100" s="197" t="s">
        <v>125</v>
      </c>
      <c r="E100" s="183"/>
      <c r="F100" s="183"/>
      <c r="G100" s="183"/>
      <c r="H100" s="183"/>
      <c r="I100" s="23"/>
      <c r="J100" s="23"/>
      <c r="K100" s="23"/>
      <c r="L100" s="23"/>
      <c r="M100" s="23"/>
      <c r="N100" s="195">
        <f>ROUNDUP($N$88*$T$100,2)</f>
        <v>0</v>
      </c>
      <c r="O100" s="183"/>
      <c r="P100" s="183"/>
      <c r="Q100" s="183"/>
      <c r="R100" s="24"/>
      <c r="T100" s="111"/>
      <c r="U100" s="112" t="s">
        <v>38</v>
      </c>
      <c r="AY100" s="6" t="s">
        <v>122</v>
      </c>
      <c r="BE100" s="88">
        <f>IF($U$100="základní",$N$100,0)</f>
        <v>0</v>
      </c>
      <c r="BF100" s="88">
        <f>IF($U$100="snížená",$N$100,0)</f>
        <v>0</v>
      </c>
      <c r="BG100" s="88">
        <f>IF($U$100="zákl. přenesená",$N$100,0)</f>
        <v>0</v>
      </c>
      <c r="BH100" s="88">
        <f>IF($U$100="sníž. přenesená",$N$100,0)</f>
        <v>0</v>
      </c>
      <c r="BI100" s="88">
        <f>IF($U$100="nulová",$N$100,0)</f>
        <v>0</v>
      </c>
      <c r="BJ100" s="6" t="s">
        <v>17</v>
      </c>
    </row>
    <row r="101" spans="2:62" s="6" customFormat="1" ht="18.75" customHeight="1">
      <c r="B101" s="22"/>
      <c r="C101" s="23"/>
      <c r="D101" s="197" t="s">
        <v>126</v>
      </c>
      <c r="E101" s="183"/>
      <c r="F101" s="183"/>
      <c r="G101" s="183"/>
      <c r="H101" s="183"/>
      <c r="I101" s="23"/>
      <c r="J101" s="23"/>
      <c r="K101" s="23"/>
      <c r="L101" s="23"/>
      <c r="M101" s="23"/>
      <c r="N101" s="195">
        <f>ROUNDUP($N$88*$T$101,2)</f>
        <v>0</v>
      </c>
      <c r="O101" s="183"/>
      <c r="P101" s="183"/>
      <c r="Q101" s="183"/>
      <c r="R101" s="24"/>
      <c r="T101" s="111"/>
      <c r="U101" s="112" t="s">
        <v>38</v>
      </c>
      <c r="AY101" s="6" t="s">
        <v>122</v>
      </c>
      <c r="BE101" s="88">
        <f>IF($U$101="základní",$N$101,0)</f>
        <v>0</v>
      </c>
      <c r="BF101" s="88">
        <f>IF($U$101="snížená",$N$101,0)</f>
        <v>0</v>
      </c>
      <c r="BG101" s="88">
        <f>IF($U$101="zákl. přenesená",$N$101,0)</f>
        <v>0</v>
      </c>
      <c r="BH101" s="88">
        <f>IF($U$101="sníž. přenesená",$N$101,0)</f>
        <v>0</v>
      </c>
      <c r="BI101" s="88">
        <f>IF($U$101="nulová",$N$101,0)</f>
        <v>0</v>
      </c>
      <c r="BJ101" s="6" t="s">
        <v>17</v>
      </c>
    </row>
    <row r="102" spans="2:62" s="6" customFormat="1" ht="18.75" customHeight="1">
      <c r="B102" s="22"/>
      <c r="C102" s="23"/>
      <c r="D102" s="84" t="s">
        <v>127</v>
      </c>
      <c r="E102" s="23"/>
      <c r="F102" s="23"/>
      <c r="G102" s="23"/>
      <c r="H102" s="23"/>
      <c r="I102" s="23"/>
      <c r="J102" s="23"/>
      <c r="K102" s="23"/>
      <c r="L102" s="23"/>
      <c r="M102" s="23"/>
      <c r="N102" s="195">
        <f>ROUNDUP($N$88*$T$102,2)</f>
        <v>0</v>
      </c>
      <c r="O102" s="183"/>
      <c r="P102" s="183"/>
      <c r="Q102" s="183"/>
      <c r="R102" s="24"/>
      <c r="T102" s="113"/>
      <c r="U102" s="114" t="s">
        <v>38</v>
      </c>
      <c r="AY102" s="6" t="s">
        <v>128</v>
      </c>
      <c r="BE102" s="88">
        <f>IF($U$102="základní",$N$102,0)</f>
        <v>0</v>
      </c>
      <c r="BF102" s="88">
        <f>IF($U$102="snížená",$N$102,0)</f>
        <v>0</v>
      </c>
      <c r="BG102" s="88">
        <f>IF($U$102="zákl. přenesená",$N$102,0)</f>
        <v>0</v>
      </c>
      <c r="BH102" s="88">
        <f>IF($U$102="sníž. přenesená",$N$102,0)</f>
        <v>0</v>
      </c>
      <c r="BI102" s="88">
        <f>IF($U$102="nulová",$N$102,0)</f>
        <v>0</v>
      </c>
      <c r="BJ102" s="6" t="s">
        <v>17</v>
      </c>
    </row>
    <row r="103" spans="2:21" s="6" customFormat="1" ht="14.25" customHeight="1">
      <c r="B103" s="22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4"/>
      <c r="T103" s="23"/>
      <c r="U103" s="23"/>
    </row>
    <row r="104" spans="2:21" s="6" customFormat="1" ht="30" customHeight="1">
      <c r="B104" s="22"/>
      <c r="C104" s="95" t="s">
        <v>101</v>
      </c>
      <c r="D104" s="32"/>
      <c r="E104" s="32"/>
      <c r="F104" s="32"/>
      <c r="G104" s="32"/>
      <c r="H104" s="32"/>
      <c r="I104" s="32"/>
      <c r="J104" s="32"/>
      <c r="K104" s="32"/>
      <c r="L104" s="200">
        <f>ROUNDUP(SUM($N$88+$N$96),2)</f>
        <v>0</v>
      </c>
      <c r="M104" s="201"/>
      <c r="N104" s="201"/>
      <c r="O104" s="201"/>
      <c r="P104" s="201"/>
      <c r="Q104" s="201"/>
      <c r="R104" s="24"/>
      <c r="T104" s="23"/>
      <c r="U104" s="23"/>
    </row>
    <row r="105" spans="2:21" s="6" customFormat="1" ht="7.5" customHeight="1">
      <c r="B105" s="45"/>
      <c r="C105" s="46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7"/>
      <c r="T105" s="23"/>
      <c r="U105" s="23"/>
    </row>
    <row r="109" spans="2:18" s="6" customFormat="1" ht="7.5" customHeight="1">
      <c r="B109" s="48"/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50"/>
    </row>
    <row r="110" spans="2:18" s="6" customFormat="1" ht="37.5" customHeight="1">
      <c r="B110" s="22"/>
      <c r="C110" s="166" t="s">
        <v>129</v>
      </c>
      <c r="D110" s="183"/>
      <c r="E110" s="183"/>
      <c r="F110" s="183"/>
      <c r="G110" s="183"/>
      <c r="H110" s="183"/>
      <c r="I110" s="183"/>
      <c r="J110" s="183"/>
      <c r="K110" s="183"/>
      <c r="L110" s="183"/>
      <c r="M110" s="183"/>
      <c r="N110" s="183"/>
      <c r="O110" s="183"/>
      <c r="P110" s="183"/>
      <c r="Q110" s="183"/>
      <c r="R110" s="24"/>
    </row>
    <row r="111" spans="2:18" s="6" customFormat="1" ht="7.5" customHeight="1">
      <c r="B111" s="22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4"/>
    </row>
    <row r="112" spans="2:18" s="6" customFormat="1" ht="15" customHeight="1">
      <c r="B112" s="22"/>
      <c r="C112" s="16" t="s">
        <v>14</v>
      </c>
      <c r="D112" s="23"/>
      <c r="E112" s="23"/>
      <c r="F112" s="203" t="str">
        <f>$F$6</f>
        <v>0251-15 - Podkrušnohorská nemocnice následné péče, ul.Podkrušnohorská 638, litvínov - stavební úpravy v 1.N.P.</v>
      </c>
      <c r="G112" s="183"/>
      <c r="H112" s="183"/>
      <c r="I112" s="183"/>
      <c r="J112" s="183"/>
      <c r="K112" s="183"/>
      <c r="L112" s="183"/>
      <c r="M112" s="183"/>
      <c r="N112" s="183"/>
      <c r="O112" s="183"/>
      <c r="P112" s="183"/>
      <c r="Q112" s="23"/>
      <c r="R112" s="24"/>
    </row>
    <row r="113" spans="2:18" s="6" customFormat="1" ht="15" customHeight="1">
      <c r="B113" s="22"/>
      <c r="C113" s="15" t="s">
        <v>105</v>
      </c>
      <c r="D113" s="23"/>
      <c r="E113" s="23"/>
      <c r="F113" s="171" t="str">
        <f>$F$7</f>
        <v>0251-zti - D.1.4.b - Zdravotní instalace</v>
      </c>
      <c r="G113" s="183"/>
      <c r="H113" s="183"/>
      <c r="I113" s="183"/>
      <c r="J113" s="183"/>
      <c r="K113" s="183"/>
      <c r="L113" s="183"/>
      <c r="M113" s="183"/>
      <c r="N113" s="183"/>
      <c r="O113" s="183"/>
      <c r="P113" s="183"/>
      <c r="Q113" s="23"/>
      <c r="R113" s="24"/>
    </row>
    <row r="114" spans="2:18" s="6" customFormat="1" ht="7.5" customHeight="1">
      <c r="B114" s="22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4"/>
    </row>
    <row r="115" spans="2:18" s="6" customFormat="1" ht="18.75" customHeight="1">
      <c r="B115" s="22"/>
      <c r="C115" s="16" t="s">
        <v>18</v>
      </c>
      <c r="D115" s="23"/>
      <c r="E115" s="23"/>
      <c r="F115" s="17" t="str">
        <f>$F$9</f>
        <v> </v>
      </c>
      <c r="G115" s="23"/>
      <c r="H115" s="23"/>
      <c r="I115" s="23"/>
      <c r="J115" s="23"/>
      <c r="K115" s="16" t="s">
        <v>20</v>
      </c>
      <c r="L115" s="23"/>
      <c r="M115" s="208" t="str">
        <f>IF($O$9="","",$O$9)</f>
        <v>13.11.2015</v>
      </c>
      <c r="N115" s="183"/>
      <c r="O115" s="183"/>
      <c r="P115" s="183"/>
      <c r="Q115" s="23"/>
      <c r="R115" s="24"/>
    </row>
    <row r="116" spans="2:18" s="6" customFormat="1" ht="7.5" customHeight="1">
      <c r="B116" s="22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4"/>
    </row>
    <row r="117" spans="2:18" s="6" customFormat="1" ht="15.75" customHeight="1">
      <c r="B117" s="22"/>
      <c r="C117" s="16" t="s">
        <v>24</v>
      </c>
      <c r="D117" s="23"/>
      <c r="E117" s="23"/>
      <c r="F117" s="17" t="str">
        <f>$E$12</f>
        <v>KPlL s.r.o., ul.Žižkova 151, Litvínov</v>
      </c>
      <c r="G117" s="23"/>
      <c r="H117" s="23"/>
      <c r="I117" s="23"/>
      <c r="J117" s="23"/>
      <c r="K117" s="16" t="s">
        <v>30</v>
      </c>
      <c r="L117" s="23"/>
      <c r="M117" s="184" t="str">
        <f>$E$18</f>
        <v>VPH s.r.o.</v>
      </c>
      <c r="N117" s="183"/>
      <c r="O117" s="183"/>
      <c r="P117" s="183"/>
      <c r="Q117" s="183"/>
      <c r="R117" s="24"/>
    </row>
    <row r="118" spans="2:18" s="6" customFormat="1" ht="15" customHeight="1">
      <c r="B118" s="22"/>
      <c r="C118" s="16" t="s">
        <v>28</v>
      </c>
      <c r="D118" s="23"/>
      <c r="E118" s="23"/>
      <c r="F118" s="17" t="str">
        <f>IF($E$15="","",$E$15)</f>
        <v>Vyplň údaj</v>
      </c>
      <c r="G118" s="23"/>
      <c r="H118" s="23"/>
      <c r="I118" s="23"/>
      <c r="J118" s="23"/>
      <c r="K118" s="16" t="s">
        <v>33</v>
      </c>
      <c r="L118" s="23"/>
      <c r="M118" s="184" t="str">
        <f>$E$21</f>
        <v>Vlasáková Alena</v>
      </c>
      <c r="N118" s="183"/>
      <c r="O118" s="183"/>
      <c r="P118" s="183"/>
      <c r="Q118" s="183"/>
      <c r="R118" s="24"/>
    </row>
    <row r="119" spans="2:18" s="6" customFormat="1" ht="11.25" customHeight="1">
      <c r="B119" s="22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4"/>
    </row>
    <row r="120" spans="2:27" s="115" customFormat="1" ht="30" customHeight="1">
      <c r="B120" s="116"/>
      <c r="C120" s="117" t="s">
        <v>130</v>
      </c>
      <c r="D120" s="118" t="s">
        <v>131</v>
      </c>
      <c r="E120" s="118" t="s">
        <v>55</v>
      </c>
      <c r="F120" s="214" t="s">
        <v>132</v>
      </c>
      <c r="G120" s="215"/>
      <c r="H120" s="215"/>
      <c r="I120" s="215"/>
      <c r="J120" s="118" t="s">
        <v>133</v>
      </c>
      <c r="K120" s="118" t="s">
        <v>134</v>
      </c>
      <c r="L120" s="214" t="s">
        <v>135</v>
      </c>
      <c r="M120" s="215"/>
      <c r="N120" s="214" t="s">
        <v>136</v>
      </c>
      <c r="O120" s="215"/>
      <c r="P120" s="215"/>
      <c r="Q120" s="216"/>
      <c r="R120" s="119"/>
      <c r="T120" s="61" t="s">
        <v>137</v>
      </c>
      <c r="U120" s="62" t="s">
        <v>37</v>
      </c>
      <c r="V120" s="62" t="s">
        <v>138</v>
      </c>
      <c r="W120" s="62" t="s">
        <v>139</v>
      </c>
      <c r="X120" s="62" t="s">
        <v>140</v>
      </c>
      <c r="Y120" s="62" t="s">
        <v>141</v>
      </c>
      <c r="Z120" s="62" t="s">
        <v>142</v>
      </c>
      <c r="AA120" s="63" t="s">
        <v>143</v>
      </c>
    </row>
    <row r="121" spans="2:63" s="6" customFormat="1" ht="30" customHeight="1">
      <c r="B121" s="22"/>
      <c r="C121" s="66" t="s">
        <v>108</v>
      </c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23">
        <f>$BK$121</f>
        <v>0</v>
      </c>
      <c r="O121" s="183"/>
      <c r="P121" s="183"/>
      <c r="Q121" s="183"/>
      <c r="R121" s="24"/>
      <c r="T121" s="65"/>
      <c r="U121" s="37"/>
      <c r="V121" s="37"/>
      <c r="W121" s="120">
        <f>$W$122+$W$176</f>
        <v>120.79799599999998</v>
      </c>
      <c r="X121" s="37"/>
      <c r="Y121" s="120">
        <f>$Y$122+$Y$176</f>
        <v>0.37947</v>
      </c>
      <c r="Z121" s="37"/>
      <c r="AA121" s="121">
        <f>$AA$122+$AA$176</f>
        <v>0.5587200000000001</v>
      </c>
      <c r="AT121" s="6" t="s">
        <v>72</v>
      </c>
      <c r="AU121" s="6" t="s">
        <v>113</v>
      </c>
      <c r="BK121" s="122">
        <f>$BK$122+$BK$176</f>
        <v>0</v>
      </c>
    </row>
    <row r="122" spans="2:63" s="123" customFormat="1" ht="37.5" customHeight="1">
      <c r="B122" s="124"/>
      <c r="C122" s="125"/>
      <c r="D122" s="126" t="s">
        <v>114</v>
      </c>
      <c r="E122" s="125"/>
      <c r="F122" s="125"/>
      <c r="G122" s="125"/>
      <c r="H122" s="125"/>
      <c r="I122" s="125"/>
      <c r="J122" s="125"/>
      <c r="K122" s="125"/>
      <c r="L122" s="125"/>
      <c r="M122" s="125"/>
      <c r="N122" s="213">
        <f>$BK$122</f>
        <v>0</v>
      </c>
      <c r="O122" s="224"/>
      <c r="P122" s="224"/>
      <c r="Q122" s="224"/>
      <c r="R122" s="127"/>
      <c r="T122" s="128"/>
      <c r="U122" s="125"/>
      <c r="V122" s="125"/>
      <c r="W122" s="129">
        <f>$W$123+$W$140+$W$158+$W$159</f>
        <v>120.79799599999998</v>
      </c>
      <c r="X122" s="125"/>
      <c r="Y122" s="129">
        <f>$Y$123+$Y$140+$Y$158+$Y$159</f>
        <v>0.37947</v>
      </c>
      <c r="Z122" s="125"/>
      <c r="AA122" s="130">
        <f>$AA$123+$AA$140+$AA$158+$AA$159</f>
        <v>0.5587200000000001</v>
      </c>
      <c r="AR122" s="131" t="s">
        <v>103</v>
      </c>
      <c r="AT122" s="131" t="s">
        <v>72</v>
      </c>
      <c r="AU122" s="131" t="s">
        <v>73</v>
      </c>
      <c r="AY122" s="131" t="s">
        <v>144</v>
      </c>
      <c r="BK122" s="132">
        <f>$BK$123+$BK$140+$BK$158+$BK$159</f>
        <v>0</v>
      </c>
    </row>
    <row r="123" spans="2:63" s="123" customFormat="1" ht="21" customHeight="1">
      <c r="B123" s="124"/>
      <c r="C123" s="125"/>
      <c r="D123" s="133" t="s">
        <v>115</v>
      </c>
      <c r="E123" s="125"/>
      <c r="F123" s="125"/>
      <c r="G123" s="125"/>
      <c r="H123" s="125"/>
      <c r="I123" s="125"/>
      <c r="J123" s="125"/>
      <c r="K123" s="125"/>
      <c r="L123" s="125"/>
      <c r="M123" s="125"/>
      <c r="N123" s="225">
        <f>$BK$123</f>
        <v>0</v>
      </c>
      <c r="O123" s="224"/>
      <c r="P123" s="224"/>
      <c r="Q123" s="224"/>
      <c r="R123" s="127"/>
      <c r="T123" s="128"/>
      <c r="U123" s="125"/>
      <c r="V123" s="125"/>
      <c r="W123" s="129">
        <f>SUM($W$124:$W$139)</f>
        <v>34.88109</v>
      </c>
      <c r="X123" s="125"/>
      <c r="Y123" s="129">
        <f>SUM($Y$124:$Y$139)</f>
        <v>0.03457999999999999</v>
      </c>
      <c r="Z123" s="125"/>
      <c r="AA123" s="130">
        <f>SUM($AA$124:$AA$139)</f>
        <v>0.1597</v>
      </c>
      <c r="AR123" s="131" t="s">
        <v>103</v>
      </c>
      <c r="AT123" s="131" t="s">
        <v>72</v>
      </c>
      <c r="AU123" s="131" t="s">
        <v>17</v>
      </c>
      <c r="AY123" s="131" t="s">
        <v>144</v>
      </c>
      <c r="BK123" s="132">
        <f>SUM($BK$124:$BK$139)</f>
        <v>0</v>
      </c>
    </row>
    <row r="124" spans="2:64" s="6" customFormat="1" ht="15.75" customHeight="1">
      <c r="B124" s="22"/>
      <c r="C124" s="134" t="s">
        <v>17</v>
      </c>
      <c r="D124" s="134" t="s">
        <v>145</v>
      </c>
      <c r="E124" s="135" t="s">
        <v>146</v>
      </c>
      <c r="F124" s="217" t="s">
        <v>147</v>
      </c>
      <c r="G124" s="218"/>
      <c r="H124" s="218"/>
      <c r="I124" s="218"/>
      <c r="J124" s="136" t="s">
        <v>148</v>
      </c>
      <c r="K124" s="137">
        <v>10</v>
      </c>
      <c r="L124" s="219">
        <v>0</v>
      </c>
      <c r="M124" s="218"/>
      <c r="N124" s="220">
        <f>ROUND($L$124*$K$124,2)</f>
        <v>0</v>
      </c>
      <c r="O124" s="218"/>
      <c r="P124" s="218"/>
      <c r="Q124" s="218"/>
      <c r="R124" s="24"/>
      <c r="T124" s="138"/>
      <c r="U124" s="30" t="s">
        <v>38</v>
      </c>
      <c r="V124" s="139">
        <v>0.413</v>
      </c>
      <c r="W124" s="139">
        <f>$V$124*$K$124</f>
        <v>4.13</v>
      </c>
      <c r="X124" s="139">
        <v>0</v>
      </c>
      <c r="Y124" s="139">
        <f>$X$124*$K$124</f>
        <v>0</v>
      </c>
      <c r="Z124" s="139">
        <v>0.01492</v>
      </c>
      <c r="AA124" s="140">
        <f>$Z$124*$K$124</f>
        <v>0.1492</v>
      </c>
      <c r="AR124" s="6" t="s">
        <v>149</v>
      </c>
      <c r="AT124" s="6" t="s">
        <v>145</v>
      </c>
      <c r="AU124" s="6" t="s">
        <v>103</v>
      </c>
      <c r="AY124" s="6" t="s">
        <v>144</v>
      </c>
      <c r="BE124" s="88">
        <f>IF($U$124="základní",$N$124,0)</f>
        <v>0</v>
      </c>
      <c r="BF124" s="88">
        <f>IF($U$124="snížená",$N$124,0)</f>
        <v>0</v>
      </c>
      <c r="BG124" s="88">
        <f>IF($U$124="zákl. přenesená",$N$124,0)</f>
        <v>0</v>
      </c>
      <c r="BH124" s="88">
        <f>IF($U$124="sníž. přenesená",$N$124,0)</f>
        <v>0</v>
      </c>
      <c r="BI124" s="88">
        <f>IF($U$124="nulová",$N$124,0)</f>
        <v>0</v>
      </c>
      <c r="BJ124" s="6" t="s">
        <v>17</v>
      </c>
      <c r="BK124" s="88">
        <f>ROUND($L$124*$K$124,2)</f>
        <v>0</v>
      </c>
      <c r="BL124" s="6" t="s">
        <v>149</v>
      </c>
    </row>
    <row r="125" spans="2:64" s="6" customFormat="1" ht="15.75" customHeight="1">
      <c r="B125" s="22"/>
      <c r="C125" s="134" t="s">
        <v>103</v>
      </c>
      <c r="D125" s="134" t="s">
        <v>145</v>
      </c>
      <c r="E125" s="135" t="s">
        <v>150</v>
      </c>
      <c r="F125" s="217" t="s">
        <v>151</v>
      </c>
      <c r="G125" s="218"/>
      <c r="H125" s="218"/>
      <c r="I125" s="218"/>
      <c r="J125" s="136" t="s">
        <v>148</v>
      </c>
      <c r="K125" s="137">
        <v>5</v>
      </c>
      <c r="L125" s="219">
        <v>0</v>
      </c>
      <c r="M125" s="218"/>
      <c r="N125" s="220">
        <f>ROUND($L$125*$K$125,2)</f>
        <v>0</v>
      </c>
      <c r="O125" s="218"/>
      <c r="P125" s="218"/>
      <c r="Q125" s="218"/>
      <c r="R125" s="24"/>
      <c r="T125" s="138"/>
      <c r="U125" s="30" t="s">
        <v>38</v>
      </c>
      <c r="V125" s="139">
        <v>0.031</v>
      </c>
      <c r="W125" s="139">
        <f>$V$125*$K$125</f>
        <v>0.155</v>
      </c>
      <c r="X125" s="139">
        <v>0</v>
      </c>
      <c r="Y125" s="139">
        <f>$X$125*$K$125</f>
        <v>0</v>
      </c>
      <c r="Z125" s="139">
        <v>0.0021</v>
      </c>
      <c r="AA125" s="140">
        <f>$Z$125*$K$125</f>
        <v>0.010499999999999999</v>
      </c>
      <c r="AR125" s="6" t="s">
        <v>149</v>
      </c>
      <c r="AT125" s="6" t="s">
        <v>145</v>
      </c>
      <c r="AU125" s="6" t="s">
        <v>103</v>
      </c>
      <c r="AY125" s="6" t="s">
        <v>144</v>
      </c>
      <c r="BE125" s="88">
        <f>IF($U$125="základní",$N$125,0)</f>
        <v>0</v>
      </c>
      <c r="BF125" s="88">
        <f>IF($U$125="snížená",$N$125,0)</f>
        <v>0</v>
      </c>
      <c r="BG125" s="88">
        <f>IF($U$125="zákl. přenesená",$N$125,0)</f>
        <v>0</v>
      </c>
      <c r="BH125" s="88">
        <f>IF($U$125="sníž. přenesená",$N$125,0)</f>
        <v>0</v>
      </c>
      <c r="BI125" s="88">
        <f>IF($U$125="nulová",$N$125,0)</f>
        <v>0</v>
      </c>
      <c r="BJ125" s="6" t="s">
        <v>17</v>
      </c>
      <c r="BK125" s="88">
        <f>ROUND($L$125*$K$125,2)</f>
        <v>0</v>
      </c>
      <c r="BL125" s="6" t="s">
        <v>149</v>
      </c>
    </row>
    <row r="126" spans="2:64" s="6" customFormat="1" ht="15.75" customHeight="1">
      <c r="B126" s="22"/>
      <c r="C126" s="134" t="s">
        <v>152</v>
      </c>
      <c r="D126" s="134" t="s">
        <v>145</v>
      </c>
      <c r="E126" s="135" t="s">
        <v>153</v>
      </c>
      <c r="F126" s="217" t="s">
        <v>154</v>
      </c>
      <c r="G126" s="218"/>
      <c r="H126" s="218"/>
      <c r="I126" s="218"/>
      <c r="J126" s="136" t="s">
        <v>155</v>
      </c>
      <c r="K126" s="137">
        <v>9</v>
      </c>
      <c r="L126" s="219">
        <v>0</v>
      </c>
      <c r="M126" s="218"/>
      <c r="N126" s="220">
        <f>ROUND($L$126*$K$126,2)</f>
        <v>0</v>
      </c>
      <c r="O126" s="218"/>
      <c r="P126" s="218"/>
      <c r="Q126" s="218"/>
      <c r="R126" s="24"/>
      <c r="T126" s="138"/>
      <c r="U126" s="30" t="s">
        <v>38</v>
      </c>
      <c r="V126" s="139">
        <v>0.342</v>
      </c>
      <c r="W126" s="139">
        <f>$V$126*$K$126</f>
        <v>3.0780000000000003</v>
      </c>
      <c r="X126" s="139">
        <v>0.0018</v>
      </c>
      <c r="Y126" s="139">
        <f>$X$126*$K$126</f>
        <v>0.0162</v>
      </c>
      <c r="Z126" s="139">
        <v>0</v>
      </c>
      <c r="AA126" s="140">
        <f>$Z$126*$K$126</f>
        <v>0</v>
      </c>
      <c r="AR126" s="6" t="s">
        <v>149</v>
      </c>
      <c r="AT126" s="6" t="s">
        <v>145</v>
      </c>
      <c r="AU126" s="6" t="s">
        <v>103</v>
      </c>
      <c r="AY126" s="6" t="s">
        <v>144</v>
      </c>
      <c r="BE126" s="88">
        <f>IF($U$126="základní",$N$126,0)</f>
        <v>0</v>
      </c>
      <c r="BF126" s="88">
        <f>IF($U$126="snížená",$N$126,0)</f>
        <v>0</v>
      </c>
      <c r="BG126" s="88">
        <f>IF($U$126="zákl. přenesená",$N$126,0)</f>
        <v>0</v>
      </c>
      <c r="BH126" s="88">
        <f>IF($U$126="sníž. přenesená",$N$126,0)</f>
        <v>0</v>
      </c>
      <c r="BI126" s="88">
        <f>IF($U$126="nulová",$N$126,0)</f>
        <v>0</v>
      </c>
      <c r="BJ126" s="6" t="s">
        <v>17</v>
      </c>
      <c r="BK126" s="88">
        <f>ROUND($L$126*$K$126,2)</f>
        <v>0</v>
      </c>
      <c r="BL126" s="6" t="s">
        <v>149</v>
      </c>
    </row>
    <row r="127" spans="2:64" s="6" customFormat="1" ht="15.75" customHeight="1">
      <c r="B127" s="22"/>
      <c r="C127" s="134" t="s">
        <v>156</v>
      </c>
      <c r="D127" s="134" t="s">
        <v>145</v>
      </c>
      <c r="E127" s="135" t="s">
        <v>157</v>
      </c>
      <c r="F127" s="217" t="s">
        <v>158</v>
      </c>
      <c r="G127" s="218"/>
      <c r="H127" s="218"/>
      <c r="I127" s="218"/>
      <c r="J127" s="136" t="s">
        <v>155</v>
      </c>
      <c r="K127" s="137">
        <v>9</v>
      </c>
      <c r="L127" s="219">
        <v>0</v>
      </c>
      <c r="M127" s="218"/>
      <c r="N127" s="220">
        <f>ROUND($L$127*$K$127,2)</f>
        <v>0</v>
      </c>
      <c r="O127" s="218"/>
      <c r="P127" s="218"/>
      <c r="Q127" s="218"/>
      <c r="R127" s="24"/>
      <c r="T127" s="138"/>
      <c r="U127" s="30" t="s">
        <v>38</v>
      </c>
      <c r="V127" s="139">
        <v>0.361</v>
      </c>
      <c r="W127" s="139">
        <f>$V$127*$K$127</f>
        <v>3.2489999999999997</v>
      </c>
      <c r="X127" s="139">
        <v>0.00101</v>
      </c>
      <c r="Y127" s="139">
        <f>$X$127*$K$127</f>
        <v>0.00909</v>
      </c>
      <c r="Z127" s="139">
        <v>0</v>
      </c>
      <c r="AA127" s="140">
        <f>$Z$127*$K$127</f>
        <v>0</v>
      </c>
      <c r="AR127" s="6" t="s">
        <v>149</v>
      </c>
      <c r="AT127" s="6" t="s">
        <v>145</v>
      </c>
      <c r="AU127" s="6" t="s">
        <v>103</v>
      </c>
      <c r="AY127" s="6" t="s">
        <v>144</v>
      </c>
      <c r="BE127" s="88">
        <f>IF($U$127="základní",$N$127,0)</f>
        <v>0</v>
      </c>
      <c r="BF127" s="88">
        <f>IF($U$127="snížená",$N$127,0)</f>
        <v>0</v>
      </c>
      <c r="BG127" s="88">
        <f>IF($U$127="zákl. přenesená",$N$127,0)</f>
        <v>0</v>
      </c>
      <c r="BH127" s="88">
        <f>IF($U$127="sníž. přenesená",$N$127,0)</f>
        <v>0</v>
      </c>
      <c r="BI127" s="88">
        <f>IF($U$127="nulová",$N$127,0)</f>
        <v>0</v>
      </c>
      <c r="BJ127" s="6" t="s">
        <v>17</v>
      </c>
      <c r="BK127" s="88">
        <f>ROUND($L$127*$K$127,2)</f>
        <v>0</v>
      </c>
      <c r="BL127" s="6" t="s">
        <v>149</v>
      </c>
    </row>
    <row r="128" spans="2:64" s="6" customFormat="1" ht="27" customHeight="1">
      <c r="B128" s="22"/>
      <c r="C128" s="134" t="s">
        <v>159</v>
      </c>
      <c r="D128" s="134" t="s">
        <v>145</v>
      </c>
      <c r="E128" s="135" t="s">
        <v>160</v>
      </c>
      <c r="F128" s="217" t="s">
        <v>161</v>
      </c>
      <c r="G128" s="218"/>
      <c r="H128" s="218"/>
      <c r="I128" s="218"/>
      <c r="J128" s="136" t="s">
        <v>148</v>
      </c>
      <c r="K128" s="137">
        <v>2</v>
      </c>
      <c r="L128" s="219">
        <v>0</v>
      </c>
      <c r="M128" s="218"/>
      <c r="N128" s="220">
        <f>ROUND($L$128*$K$128,2)</f>
        <v>0</v>
      </c>
      <c r="O128" s="218"/>
      <c r="P128" s="218"/>
      <c r="Q128" s="218"/>
      <c r="R128" s="24"/>
      <c r="T128" s="138"/>
      <c r="U128" s="30" t="s">
        <v>38</v>
      </c>
      <c r="V128" s="139">
        <v>0.735</v>
      </c>
      <c r="W128" s="139">
        <f>$V$128*$K$128</f>
        <v>1.47</v>
      </c>
      <c r="X128" s="139">
        <v>0.00056</v>
      </c>
      <c r="Y128" s="139">
        <f>$X$128*$K$128</f>
        <v>0.00112</v>
      </c>
      <c r="Z128" s="139">
        <v>0</v>
      </c>
      <c r="AA128" s="140">
        <f>$Z$128*$K$128</f>
        <v>0</v>
      </c>
      <c r="AR128" s="6" t="s">
        <v>149</v>
      </c>
      <c r="AT128" s="6" t="s">
        <v>145</v>
      </c>
      <c r="AU128" s="6" t="s">
        <v>103</v>
      </c>
      <c r="AY128" s="6" t="s">
        <v>144</v>
      </c>
      <c r="BE128" s="88">
        <f>IF($U$128="základní",$N$128,0)</f>
        <v>0</v>
      </c>
      <c r="BF128" s="88">
        <f>IF($U$128="snížená",$N$128,0)</f>
        <v>0</v>
      </c>
      <c r="BG128" s="88">
        <f>IF($U$128="zákl. přenesená",$N$128,0)</f>
        <v>0</v>
      </c>
      <c r="BH128" s="88">
        <f>IF($U$128="sníž. přenesená",$N$128,0)</f>
        <v>0</v>
      </c>
      <c r="BI128" s="88">
        <f>IF($U$128="nulová",$N$128,0)</f>
        <v>0</v>
      </c>
      <c r="BJ128" s="6" t="s">
        <v>17</v>
      </c>
      <c r="BK128" s="88">
        <f>ROUND($L$128*$K$128,2)</f>
        <v>0</v>
      </c>
      <c r="BL128" s="6" t="s">
        <v>149</v>
      </c>
    </row>
    <row r="129" spans="2:64" s="6" customFormat="1" ht="27" customHeight="1">
      <c r="B129" s="22"/>
      <c r="C129" s="134" t="s">
        <v>162</v>
      </c>
      <c r="D129" s="134" t="s">
        <v>145</v>
      </c>
      <c r="E129" s="135" t="s">
        <v>163</v>
      </c>
      <c r="F129" s="217" t="s">
        <v>164</v>
      </c>
      <c r="G129" s="218"/>
      <c r="H129" s="218"/>
      <c r="I129" s="218"/>
      <c r="J129" s="136" t="s">
        <v>148</v>
      </c>
      <c r="K129" s="137">
        <v>4</v>
      </c>
      <c r="L129" s="219">
        <v>0</v>
      </c>
      <c r="M129" s="218"/>
      <c r="N129" s="220">
        <f>ROUND($L$129*$K$129,2)</f>
        <v>0</v>
      </c>
      <c r="O129" s="218"/>
      <c r="P129" s="218"/>
      <c r="Q129" s="218"/>
      <c r="R129" s="24"/>
      <c r="T129" s="138"/>
      <c r="U129" s="30" t="s">
        <v>38</v>
      </c>
      <c r="V129" s="139">
        <v>0.769</v>
      </c>
      <c r="W129" s="139">
        <f>$V$129*$K$129</f>
        <v>3.076</v>
      </c>
      <c r="X129" s="139">
        <v>0.00109</v>
      </c>
      <c r="Y129" s="139">
        <f>$X$129*$K$129</f>
        <v>0.00436</v>
      </c>
      <c r="Z129" s="139">
        <v>0</v>
      </c>
      <c r="AA129" s="140">
        <f>$Z$129*$K$129</f>
        <v>0</v>
      </c>
      <c r="AR129" s="6" t="s">
        <v>149</v>
      </c>
      <c r="AT129" s="6" t="s">
        <v>145</v>
      </c>
      <c r="AU129" s="6" t="s">
        <v>103</v>
      </c>
      <c r="AY129" s="6" t="s">
        <v>144</v>
      </c>
      <c r="BE129" s="88">
        <f>IF($U$129="základní",$N$129,0)</f>
        <v>0</v>
      </c>
      <c r="BF129" s="88">
        <f>IF($U$129="snížená",$N$129,0)</f>
        <v>0</v>
      </c>
      <c r="BG129" s="88">
        <f>IF($U$129="zákl. přenesená",$N$129,0)</f>
        <v>0</v>
      </c>
      <c r="BH129" s="88">
        <f>IF($U$129="sníž. přenesená",$N$129,0)</f>
        <v>0</v>
      </c>
      <c r="BI129" s="88">
        <f>IF($U$129="nulová",$N$129,0)</f>
        <v>0</v>
      </c>
      <c r="BJ129" s="6" t="s">
        <v>17</v>
      </c>
      <c r="BK129" s="88">
        <f>ROUND($L$129*$K$129,2)</f>
        <v>0</v>
      </c>
      <c r="BL129" s="6" t="s">
        <v>149</v>
      </c>
    </row>
    <row r="130" spans="2:64" s="6" customFormat="1" ht="27" customHeight="1">
      <c r="B130" s="22"/>
      <c r="C130" s="134" t="s">
        <v>165</v>
      </c>
      <c r="D130" s="134" t="s">
        <v>145</v>
      </c>
      <c r="E130" s="135" t="s">
        <v>166</v>
      </c>
      <c r="F130" s="217" t="s">
        <v>167</v>
      </c>
      <c r="G130" s="218"/>
      <c r="H130" s="218"/>
      <c r="I130" s="218"/>
      <c r="J130" s="136" t="s">
        <v>148</v>
      </c>
      <c r="K130" s="137">
        <v>8</v>
      </c>
      <c r="L130" s="219">
        <v>0</v>
      </c>
      <c r="M130" s="218"/>
      <c r="N130" s="220">
        <f>ROUND($L$130*$K$130,2)</f>
        <v>0</v>
      </c>
      <c r="O130" s="218"/>
      <c r="P130" s="218"/>
      <c r="Q130" s="218"/>
      <c r="R130" s="24"/>
      <c r="T130" s="138"/>
      <c r="U130" s="30" t="s">
        <v>38</v>
      </c>
      <c r="V130" s="139">
        <v>0.728</v>
      </c>
      <c r="W130" s="139">
        <f>$V$130*$K$130</f>
        <v>5.824</v>
      </c>
      <c r="X130" s="139">
        <v>0.00035</v>
      </c>
      <c r="Y130" s="139">
        <f>$X$130*$K$130</f>
        <v>0.0028</v>
      </c>
      <c r="Z130" s="139">
        <v>0</v>
      </c>
      <c r="AA130" s="140">
        <f>$Z$130*$K$130</f>
        <v>0</v>
      </c>
      <c r="AR130" s="6" t="s">
        <v>149</v>
      </c>
      <c r="AT130" s="6" t="s">
        <v>145</v>
      </c>
      <c r="AU130" s="6" t="s">
        <v>103</v>
      </c>
      <c r="AY130" s="6" t="s">
        <v>144</v>
      </c>
      <c r="BE130" s="88">
        <f>IF($U$130="základní",$N$130,0)</f>
        <v>0</v>
      </c>
      <c r="BF130" s="88">
        <f>IF($U$130="snížená",$N$130,0)</f>
        <v>0</v>
      </c>
      <c r="BG130" s="88">
        <f>IF($U$130="zákl. přenesená",$N$130,0)</f>
        <v>0</v>
      </c>
      <c r="BH130" s="88">
        <f>IF($U$130="sníž. přenesená",$N$130,0)</f>
        <v>0</v>
      </c>
      <c r="BI130" s="88">
        <f>IF($U$130="nulová",$N$130,0)</f>
        <v>0</v>
      </c>
      <c r="BJ130" s="6" t="s">
        <v>17</v>
      </c>
      <c r="BK130" s="88">
        <f>ROUND($L$130*$K$130,2)</f>
        <v>0</v>
      </c>
      <c r="BL130" s="6" t="s">
        <v>149</v>
      </c>
    </row>
    <row r="131" spans="2:64" s="6" customFormat="1" ht="15.75" customHeight="1">
      <c r="B131" s="22"/>
      <c r="C131" s="134" t="s">
        <v>168</v>
      </c>
      <c r="D131" s="134" t="s">
        <v>145</v>
      </c>
      <c r="E131" s="135" t="s">
        <v>169</v>
      </c>
      <c r="F131" s="217" t="s">
        <v>170</v>
      </c>
      <c r="G131" s="218"/>
      <c r="H131" s="218"/>
      <c r="I131" s="218"/>
      <c r="J131" s="136" t="s">
        <v>155</v>
      </c>
      <c r="K131" s="137">
        <v>14</v>
      </c>
      <c r="L131" s="219">
        <v>0</v>
      </c>
      <c r="M131" s="218"/>
      <c r="N131" s="220">
        <f>ROUND($L$131*$K$131,2)</f>
        <v>0</v>
      </c>
      <c r="O131" s="218"/>
      <c r="P131" s="218"/>
      <c r="Q131" s="218"/>
      <c r="R131" s="24"/>
      <c r="T131" s="138"/>
      <c r="U131" s="30" t="s">
        <v>38</v>
      </c>
      <c r="V131" s="139">
        <v>0.174</v>
      </c>
      <c r="W131" s="139">
        <f>$V$131*$K$131</f>
        <v>2.436</v>
      </c>
      <c r="X131" s="139">
        <v>0</v>
      </c>
      <c r="Y131" s="139">
        <f>$X$131*$K$131</f>
        <v>0</v>
      </c>
      <c r="Z131" s="139">
        <v>0</v>
      </c>
      <c r="AA131" s="140">
        <f>$Z$131*$K$131</f>
        <v>0</v>
      </c>
      <c r="AR131" s="6" t="s">
        <v>149</v>
      </c>
      <c r="AT131" s="6" t="s">
        <v>145</v>
      </c>
      <c r="AU131" s="6" t="s">
        <v>103</v>
      </c>
      <c r="AY131" s="6" t="s">
        <v>144</v>
      </c>
      <c r="BE131" s="88">
        <f>IF($U$131="základní",$N$131,0)</f>
        <v>0</v>
      </c>
      <c r="BF131" s="88">
        <f>IF($U$131="snížená",$N$131,0)</f>
        <v>0</v>
      </c>
      <c r="BG131" s="88">
        <f>IF($U$131="zákl. přenesená",$N$131,0)</f>
        <v>0</v>
      </c>
      <c r="BH131" s="88">
        <f>IF($U$131="sníž. přenesená",$N$131,0)</f>
        <v>0</v>
      </c>
      <c r="BI131" s="88">
        <f>IF($U$131="nulová",$N$131,0)</f>
        <v>0</v>
      </c>
      <c r="BJ131" s="6" t="s">
        <v>17</v>
      </c>
      <c r="BK131" s="88">
        <f>ROUND($L$131*$K$131,2)</f>
        <v>0</v>
      </c>
      <c r="BL131" s="6" t="s">
        <v>149</v>
      </c>
    </row>
    <row r="132" spans="2:64" s="6" customFormat="1" ht="15.75" customHeight="1">
      <c r="B132" s="22"/>
      <c r="C132" s="134" t="s">
        <v>171</v>
      </c>
      <c r="D132" s="134" t="s">
        <v>145</v>
      </c>
      <c r="E132" s="135" t="s">
        <v>172</v>
      </c>
      <c r="F132" s="217" t="s">
        <v>173</v>
      </c>
      <c r="G132" s="218"/>
      <c r="H132" s="218"/>
      <c r="I132" s="218"/>
      <c r="J132" s="136" t="s">
        <v>155</v>
      </c>
      <c r="K132" s="137">
        <v>1</v>
      </c>
      <c r="L132" s="219">
        <v>0</v>
      </c>
      <c r="M132" s="218"/>
      <c r="N132" s="220">
        <f>ROUND($L$132*$K$132,2)</f>
        <v>0</v>
      </c>
      <c r="O132" s="218"/>
      <c r="P132" s="218"/>
      <c r="Q132" s="218"/>
      <c r="R132" s="24"/>
      <c r="T132" s="138"/>
      <c r="U132" s="30" t="s">
        <v>38</v>
      </c>
      <c r="V132" s="139">
        <v>0.211</v>
      </c>
      <c r="W132" s="139">
        <f>$V$132*$K$132</f>
        <v>0.211</v>
      </c>
      <c r="X132" s="139">
        <v>0</v>
      </c>
      <c r="Y132" s="139">
        <f>$X$132*$K$132</f>
        <v>0</v>
      </c>
      <c r="Z132" s="139">
        <v>0</v>
      </c>
      <c r="AA132" s="140">
        <f>$Z$132*$K$132</f>
        <v>0</v>
      </c>
      <c r="AR132" s="6" t="s">
        <v>149</v>
      </c>
      <c r="AT132" s="6" t="s">
        <v>145</v>
      </c>
      <c r="AU132" s="6" t="s">
        <v>103</v>
      </c>
      <c r="AY132" s="6" t="s">
        <v>144</v>
      </c>
      <c r="BE132" s="88">
        <f>IF($U$132="základní",$N$132,0)</f>
        <v>0</v>
      </c>
      <c r="BF132" s="88">
        <f>IF($U$132="snížená",$N$132,0)</f>
        <v>0</v>
      </c>
      <c r="BG132" s="88">
        <f>IF($U$132="zákl. přenesená",$N$132,0)</f>
        <v>0</v>
      </c>
      <c r="BH132" s="88">
        <f>IF($U$132="sníž. přenesená",$N$132,0)</f>
        <v>0</v>
      </c>
      <c r="BI132" s="88">
        <f>IF($U$132="nulová",$N$132,0)</f>
        <v>0</v>
      </c>
      <c r="BJ132" s="6" t="s">
        <v>17</v>
      </c>
      <c r="BK132" s="88">
        <f>ROUND($L$132*$K$132,2)</f>
        <v>0</v>
      </c>
      <c r="BL132" s="6" t="s">
        <v>149</v>
      </c>
    </row>
    <row r="133" spans="2:64" s="6" customFormat="1" ht="27" customHeight="1">
      <c r="B133" s="22"/>
      <c r="C133" s="134" t="s">
        <v>22</v>
      </c>
      <c r="D133" s="134" t="s">
        <v>145</v>
      </c>
      <c r="E133" s="135" t="s">
        <v>174</v>
      </c>
      <c r="F133" s="217" t="s">
        <v>175</v>
      </c>
      <c r="G133" s="218"/>
      <c r="H133" s="218"/>
      <c r="I133" s="218"/>
      <c r="J133" s="136" t="s">
        <v>155</v>
      </c>
      <c r="K133" s="137">
        <v>3</v>
      </c>
      <c r="L133" s="219">
        <v>0</v>
      </c>
      <c r="M133" s="218"/>
      <c r="N133" s="220">
        <f>ROUND($L$133*$K$133,2)</f>
        <v>0</v>
      </c>
      <c r="O133" s="218"/>
      <c r="P133" s="218"/>
      <c r="Q133" s="218"/>
      <c r="R133" s="24"/>
      <c r="T133" s="138"/>
      <c r="U133" s="30" t="s">
        <v>38</v>
      </c>
      <c r="V133" s="139">
        <v>0.259</v>
      </c>
      <c r="W133" s="139">
        <f>$V$133*$K$133</f>
        <v>0.777</v>
      </c>
      <c r="X133" s="139">
        <v>0</v>
      </c>
      <c r="Y133" s="139">
        <f>$X$133*$K$133</f>
        <v>0</v>
      </c>
      <c r="Z133" s="139">
        <v>0</v>
      </c>
      <c r="AA133" s="140">
        <f>$Z$133*$K$133</f>
        <v>0</v>
      </c>
      <c r="AR133" s="6" t="s">
        <v>149</v>
      </c>
      <c r="AT133" s="6" t="s">
        <v>145</v>
      </c>
      <c r="AU133" s="6" t="s">
        <v>103</v>
      </c>
      <c r="AY133" s="6" t="s">
        <v>144</v>
      </c>
      <c r="BE133" s="88">
        <f>IF($U$133="základní",$N$133,0)</f>
        <v>0</v>
      </c>
      <c r="BF133" s="88">
        <f>IF($U$133="snížená",$N$133,0)</f>
        <v>0</v>
      </c>
      <c r="BG133" s="88">
        <f>IF($U$133="zákl. přenesená",$N$133,0)</f>
        <v>0</v>
      </c>
      <c r="BH133" s="88">
        <f>IF($U$133="sníž. přenesená",$N$133,0)</f>
        <v>0</v>
      </c>
      <c r="BI133" s="88">
        <f>IF($U$133="nulová",$N$133,0)</f>
        <v>0</v>
      </c>
      <c r="BJ133" s="6" t="s">
        <v>17</v>
      </c>
      <c r="BK133" s="88">
        <f>ROUND($L$133*$K$133,2)</f>
        <v>0</v>
      </c>
      <c r="BL133" s="6" t="s">
        <v>149</v>
      </c>
    </row>
    <row r="134" spans="2:64" s="6" customFormat="1" ht="27" customHeight="1">
      <c r="B134" s="22"/>
      <c r="C134" s="134" t="s">
        <v>176</v>
      </c>
      <c r="D134" s="134" t="s">
        <v>145</v>
      </c>
      <c r="E134" s="135" t="s">
        <v>177</v>
      </c>
      <c r="F134" s="217" t="s">
        <v>178</v>
      </c>
      <c r="G134" s="218"/>
      <c r="H134" s="218"/>
      <c r="I134" s="218"/>
      <c r="J134" s="136" t="s">
        <v>155</v>
      </c>
      <c r="K134" s="137">
        <v>1</v>
      </c>
      <c r="L134" s="219">
        <v>0</v>
      </c>
      <c r="M134" s="218"/>
      <c r="N134" s="220">
        <f>ROUND($L$134*$K$134,2)</f>
        <v>0</v>
      </c>
      <c r="O134" s="218"/>
      <c r="P134" s="218"/>
      <c r="Q134" s="218"/>
      <c r="R134" s="24"/>
      <c r="T134" s="138"/>
      <c r="U134" s="30" t="s">
        <v>38</v>
      </c>
      <c r="V134" s="139">
        <v>0.465</v>
      </c>
      <c r="W134" s="139">
        <f>$V$134*$K$134</f>
        <v>0.465</v>
      </c>
      <c r="X134" s="139">
        <v>0.00101</v>
      </c>
      <c r="Y134" s="139">
        <f>$X$134*$K$134</f>
        <v>0.00101</v>
      </c>
      <c r="Z134" s="139">
        <v>0</v>
      </c>
      <c r="AA134" s="140">
        <f>$Z$134*$K$134</f>
        <v>0</v>
      </c>
      <c r="AR134" s="6" t="s">
        <v>149</v>
      </c>
      <c r="AT134" s="6" t="s">
        <v>145</v>
      </c>
      <c r="AU134" s="6" t="s">
        <v>103</v>
      </c>
      <c r="AY134" s="6" t="s">
        <v>144</v>
      </c>
      <c r="BE134" s="88">
        <f>IF($U$134="základní",$N$134,0)</f>
        <v>0</v>
      </c>
      <c r="BF134" s="88">
        <f>IF($U$134="snížená",$N$134,0)</f>
        <v>0</v>
      </c>
      <c r="BG134" s="88">
        <f>IF($U$134="zákl. přenesená",$N$134,0)</f>
        <v>0</v>
      </c>
      <c r="BH134" s="88">
        <f>IF($U$134="sníž. přenesená",$N$134,0)</f>
        <v>0</v>
      </c>
      <c r="BI134" s="88">
        <f>IF($U$134="nulová",$N$134,0)</f>
        <v>0</v>
      </c>
      <c r="BJ134" s="6" t="s">
        <v>17</v>
      </c>
      <c r="BK134" s="88">
        <f>ROUND($L$134*$K$134,2)</f>
        <v>0</v>
      </c>
      <c r="BL134" s="6" t="s">
        <v>149</v>
      </c>
    </row>
    <row r="135" spans="2:64" s="6" customFormat="1" ht="27" customHeight="1">
      <c r="B135" s="22"/>
      <c r="C135" s="134" t="s">
        <v>179</v>
      </c>
      <c r="D135" s="134" t="s">
        <v>145</v>
      </c>
      <c r="E135" s="135" t="s">
        <v>180</v>
      </c>
      <c r="F135" s="217" t="s">
        <v>181</v>
      </c>
      <c r="G135" s="218"/>
      <c r="H135" s="218"/>
      <c r="I135" s="218"/>
      <c r="J135" s="136" t="s">
        <v>148</v>
      </c>
      <c r="K135" s="137">
        <v>14</v>
      </c>
      <c r="L135" s="219">
        <v>0</v>
      </c>
      <c r="M135" s="218"/>
      <c r="N135" s="220">
        <f>ROUND($L$135*$K$135,2)</f>
        <v>0</v>
      </c>
      <c r="O135" s="218"/>
      <c r="P135" s="218"/>
      <c r="Q135" s="218"/>
      <c r="R135" s="24"/>
      <c r="T135" s="138"/>
      <c r="U135" s="30" t="s">
        <v>38</v>
      </c>
      <c r="V135" s="139">
        <v>0.048</v>
      </c>
      <c r="W135" s="139">
        <f>$V$135*$K$135</f>
        <v>0.672</v>
      </c>
      <c r="X135" s="139">
        <v>0</v>
      </c>
      <c r="Y135" s="139">
        <f>$X$135*$K$135</f>
        <v>0</v>
      </c>
      <c r="Z135" s="139">
        <v>0</v>
      </c>
      <c r="AA135" s="140">
        <f>$Z$135*$K$135</f>
        <v>0</v>
      </c>
      <c r="AR135" s="6" t="s">
        <v>149</v>
      </c>
      <c r="AT135" s="6" t="s">
        <v>145</v>
      </c>
      <c r="AU135" s="6" t="s">
        <v>103</v>
      </c>
      <c r="AY135" s="6" t="s">
        <v>144</v>
      </c>
      <c r="BE135" s="88">
        <f>IF($U$135="základní",$N$135,0)</f>
        <v>0</v>
      </c>
      <c r="BF135" s="88">
        <f>IF($U$135="snížená",$N$135,0)</f>
        <v>0</v>
      </c>
      <c r="BG135" s="88">
        <f>IF($U$135="zákl. přenesená",$N$135,0)</f>
        <v>0</v>
      </c>
      <c r="BH135" s="88">
        <f>IF($U$135="sníž. přenesená",$N$135,0)</f>
        <v>0</v>
      </c>
      <c r="BI135" s="88">
        <f>IF($U$135="nulová",$N$135,0)</f>
        <v>0</v>
      </c>
      <c r="BJ135" s="6" t="s">
        <v>17</v>
      </c>
      <c r="BK135" s="88">
        <f>ROUND($L$135*$K$135,2)</f>
        <v>0</v>
      </c>
      <c r="BL135" s="6" t="s">
        <v>149</v>
      </c>
    </row>
    <row r="136" spans="2:64" s="6" customFormat="1" ht="39" customHeight="1">
      <c r="B136" s="22"/>
      <c r="C136" s="134" t="s">
        <v>182</v>
      </c>
      <c r="D136" s="134" t="s">
        <v>145</v>
      </c>
      <c r="E136" s="135" t="s">
        <v>183</v>
      </c>
      <c r="F136" s="217" t="s">
        <v>184</v>
      </c>
      <c r="G136" s="218"/>
      <c r="H136" s="218"/>
      <c r="I136" s="218"/>
      <c r="J136" s="136" t="s">
        <v>185</v>
      </c>
      <c r="K136" s="137">
        <v>0.16</v>
      </c>
      <c r="L136" s="219">
        <v>0</v>
      </c>
      <c r="M136" s="218"/>
      <c r="N136" s="220">
        <f>ROUND($L$136*$K$136,2)</f>
        <v>0</v>
      </c>
      <c r="O136" s="218"/>
      <c r="P136" s="218"/>
      <c r="Q136" s="218"/>
      <c r="R136" s="24"/>
      <c r="T136" s="138"/>
      <c r="U136" s="30" t="s">
        <v>38</v>
      </c>
      <c r="V136" s="139">
        <v>3.379</v>
      </c>
      <c r="W136" s="139">
        <f>$V$136*$K$136</f>
        <v>0.54064</v>
      </c>
      <c r="X136" s="139">
        <v>0</v>
      </c>
      <c r="Y136" s="139">
        <f>$X$136*$K$136</f>
        <v>0</v>
      </c>
      <c r="Z136" s="139">
        <v>0</v>
      </c>
      <c r="AA136" s="140">
        <f>$Z$136*$K$136</f>
        <v>0</v>
      </c>
      <c r="AR136" s="6" t="s">
        <v>149</v>
      </c>
      <c r="AT136" s="6" t="s">
        <v>145</v>
      </c>
      <c r="AU136" s="6" t="s">
        <v>103</v>
      </c>
      <c r="AY136" s="6" t="s">
        <v>144</v>
      </c>
      <c r="BE136" s="88">
        <f>IF($U$136="základní",$N$136,0)</f>
        <v>0</v>
      </c>
      <c r="BF136" s="88">
        <f>IF($U$136="snížená",$N$136,0)</f>
        <v>0</v>
      </c>
      <c r="BG136" s="88">
        <f>IF($U$136="zákl. přenesená",$N$136,0)</f>
        <v>0</v>
      </c>
      <c r="BH136" s="88">
        <f>IF($U$136="sníž. přenesená",$N$136,0)</f>
        <v>0</v>
      </c>
      <c r="BI136" s="88">
        <f>IF($U$136="nulová",$N$136,0)</f>
        <v>0</v>
      </c>
      <c r="BJ136" s="6" t="s">
        <v>17</v>
      </c>
      <c r="BK136" s="88">
        <f>ROUND($L$136*$K$136,2)</f>
        <v>0</v>
      </c>
      <c r="BL136" s="6" t="s">
        <v>149</v>
      </c>
    </row>
    <row r="137" spans="2:64" s="6" customFormat="1" ht="27" customHeight="1">
      <c r="B137" s="22"/>
      <c r="C137" s="134" t="s">
        <v>186</v>
      </c>
      <c r="D137" s="134" t="s">
        <v>145</v>
      </c>
      <c r="E137" s="135" t="s">
        <v>187</v>
      </c>
      <c r="F137" s="217" t="s">
        <v>188</v>
      </c>
      <c r="G137" s="218"/>
      <c r="H137" s="218"/>
      <c r="I137" s="218"/>
      <c r="J137" s="136" t="s">
        <v>155</v>
      </c>
      <c r="K137" s="137">
        <v>6</v>
      </c>
      <c r="L137" s="219">
        <v>0</v>
      </c>
      <c r="M137" s="218"/>
      <c r="N137" s="220">
        <f>ROUND($L$137*$K$137,2)</f>
        <v>0</v>
      </c>
      <c r="O137" s="218"/>
      <c r="P137" s="218"/>
      <c r="Q137" s="218"/>
      <c r="R137" s="24"/>
      <c r="T137" s="138"/>
      <c r="U137" s="30" t="s">
        <v>38</v>
      </c>
      <c r="V137" s="139">
        <v>0.879</v>
      </c>
      <c r="W137" s="139">
        <f>$V$137*$K$137</f>
        <v>5.274</v>
      </c>
      <c r="X137" s="139">
        <v>0</v>
      </c>
      <c r="Y137" s="139">
        <f>$X$137*$K$137</f>
        <v>0</v>
      </c>
      <c r="Z137" s="139">
        <v>0</v>
      </c>
      <c r="AA137" s="140">
        <f>$Z$137*$K$137</f>
        <v>0</v>
      </c>
      <c r="AR137" s="6" t="s">
        <v>149</v>
      </c>
      <c r="AT137" s="6" t="s">
        <v>145</v>
      </c>
      <c r="AU137" s="6" t="s">
        <v>103</v>
      </c>
      <c r="AY137" s="6" t="s">
        <v>144</v>
      </c>
      <c r="BE137" s="88">
        <f>IF($U$137="základní",$N$137,0)</f>
        <v>0</v>
      </c>
      <c r="BF137" s="88">
        <f>IF($U$137="snížená",$N$137,0)</f>
        <v>0</v>
      </c>
      <c r="BG137" s="88">
        <f>IF($U$137="zákl. přenesená",$N$137,0)</f>
        <v>0</v>
      </c>
      <c r="BH137" s="88">
        <f>IF($U$137="sníž. přenesená",$N$137,0)</f>
        <v>0</v>
      </c>
      <c r="BI137" s="88">
        <f>IF($U$137="nulová",$N$137,0)</f>
        <v>0</v>
      </c>
      <c r="BJ137" s="6" t="s">
        <v>17</v>
      </c>
      <c r="BK137" s="88">
        <f>ROUND($L$137*$K$137,2)</f>
        <v>0</v>
      </c>
      <c r="BL137" s="6" t="s">
        <v>149</v>
      </c>
    </row>
    <row r="138" spans="2:64" s="6" customFormat="1" ht="15.75" customHeight="1">
      <c r="B138" s="22"/>
      <c r="C138" s="134" t="s">
        <v>8</v>
      </c>
      <c r="D138" s="134" t="s">
        <v>145</v>
      </c>
      <c r="E138" s="135" t="s">
        <v>189</v>
      </c>
      <c r="F138" s="217" t="s">
        <v>190</v>
      </c>
      <c r="G138" s="218"/>
      <c r="H138" s="218"/>
      <c r="I138" s="218"/>
      <c r="J138" s="136" t="s">
        <v>148</v>
      </c>
      <c r="K138" s="137">
        <v>8</v>
      </c>
      <c r="L138" s="219">
        <v>0</v>
      </c>
      <c r="M138" s="218"/>
      <c r="N138" s="220">
        <f>ROUND($L$138*$K$138,2)</f>
        <v>0</v>
      </c>
      <c r="O138" s="218"/>
      <c r="P138" s="218"/>
      <c r="Q138" s="218"/>
      <c r="R138" s="24"/>
      <c r="T138" s="138"/>
      <c r="U138" s="30" t="s">
        <v>38</v>
      </c>
      <c r="V138" s="139">
        <v>0.434</v>
      </c>
      <c r="W138" s="139">
        <f>$V$138*$K$138</f>
        <v>3.472</v>
      </c>
      <c r="X138" s="139">
        <v>0</v>
      </c>
      <c r="Y138" s="139">
        <f>$X$138*$K$138</f>
        <v>0</v>
      </c>
      <c r="Z138" s="139">
        <v>0</v>
      </c>
      <c r="AA138" s="140">
        <f>$Z$138*$K$138</f>
        <v>0</v>
      </c>
      <c r="AR138" s="6" t="s">
        <v>149</v>
      </c>
      <c r="AT138" s="6" t="s">
        <v>145</v>
      </c>
      <c r="AU138" s="6" t="s">
        <v>103</v>
      </c>
      <c r="AY138" s="6" t="s">
        <v>144</v>
      </c>
      <c r="BE138" s="88">
        <f>IF($U$138="základní",$N$138,0)</f>
        <v>0</v>
      </c>
      <c r="BF138" s="88">
        <f>IF($U$138="snížená",$N$138,0)</f>
        <v>0</v>
      </c>
      <c r="BG138" s="88">
        <f>IF($U$138="zákl. přenesená",$N$138,0)</f>
        <v>0</v>
      </c>
      <c r="BH138" s="88">
        <f>IF($U$138="sníž. přenesená",$N$138,0)</f>
        <v>0</v>
      </c>
      <c r="BI138" s="88">
        <f>IF($U$138="nulová",$N$138,0)</f>
        <v>0</v>
      </c>
      <c r="BJ138" s="6" t="s">
        <v>17</v>
      </c>
      <c r="BK138" s="88">
        <f>ROUND($L$138*$K$138,2)</f>
        <v>0</v>
      </c>
      <c r="BL138" s="6" t="s">
        <v>149</v>
      </c>
    </row>
    <row r="139" spans="2:64" s="6" customFormat="1" ht="27" customHeight="1">
      <c r="B139" s="22"/>
      <c r="C139" s="134" t="s">
        <v>149</v>
      </c>
      <c r="D139" s="134" t="s">
        <v>145</v>
      </c>
      <c r="E139" s="135" t="s">
        <v>191</v>
      </c>
      <c r="F139" s="217" t="s">
        <v>192</v>
      </c>
      <c r="G139" s="218"/>
      <c r="H139" s="218"/>
      <c r="I139" s="218"/>
      <c r="J139" s="136" t="s">
        <v>185</v>
      </c>
      <c r="K139" s="137">
        <v>0.035</v>
      </c>
      <c r="L139" s="219">
        <v>0</v>
      </c>
      <c r="M139" s="218"/>
      <c r="N139" s="220">
        <f>ROUND($L$139*$K$139,2)</f>
        <v>0</v>
      </c>
      <c r="O139" s="218"/>
      <c r="P139" s="218"/>
      <c r="Q139" s="218"/>
      <c r="R139" s="24"/>
      <c r="T139" s="138"/>
      <c r="U139" s="30" t="s">
        <v>38</v>
      </c>
      <c r="V139" s="139">
        <v>1.47</v>
      </c>
      <c r="W139" s="139">
        <f>$V$139*$K$139</f>
        <v>0.05145</v>
      </c>
      <c r="X139" s="139">
        <v>0</v>
      </c>
      <c r="Y139" s="139">
        <f>$X$139*$K$139</f>
        <v>0</v>
      </c>
      <c r="Z139" s="139">
        <v>0</v>
      </c>
      <c r="AA139" s="140">
        <f>$Z$139*$K$139</f>
        <v>0</v>
      </c>
      <c r="AR139" s="6" t="s">
        <v>149</v>
      </c>
      <c r="AT139" s="6" t="s">
        <v>145</v>
      </c>
      <c r="AU139" s="6" t="s">
        <v>103</v>
      </c>
      <c r="AY139" s="6" t="s">
        <v>144</v>
      </c>
      <c r="BE139" s="88">
        <f>IF($U$139="základní",$N$139,0)</f>
        <v>0</v>
      </c>
      <c r="BF139" s="88">
        <f>IF($U$139="snížená",$N$139,0)</f>
        <v>0</v>
      </c>
      <c r="BG139" s="88">
        <f>IF($U$139="zákl. přenesená",$N$139,0)</f>
        <v>0</v>
      </c>
      <c r="BH139" s="88">
        <f>IF($U$139="sníž. přenesená",$N$139,0)</f>
        <v>0</v>
      </c>
      <c r="BI139" s="88">
        <f>IF($U$139="nulová",$N$139,0)</f>
        <v>0</v>
      </c>
      <c r="BJ139" s="6" t="s">
        <v>17</v>
      </c>
      <c r="BK139" s="88">
        <f>ROUND($L$139*$K$139,2)</f>
        <v>0</v>
      </c>
      <c r="BL139" s="6" t="s">
        <v>149</v>
      </c>
    </row>
    <row r="140" spans="2:63" s="123" customFormat="1" ht="30.75" customHeight="1">
      <c r="B140" s="124"/>
      <c r="C140" s="125"/>
      <c r="D140" s="133" t="s">
        <v>116</v>
      </c>
      <c r="E140" s="125"/>
      <c r="F140" s="125"/>
      <c r="G140" s="125"/>
      <c r="H140" s="125"/>
      <c r="I140" s="125"/>
      <c r="J140" s="125"/>
      <c r="K140" s="125"/>
      <c r="L140" s="125"/>
      <c r="M140" s="125"/>
      <c r="N140" s="225">
        <f>$BK$140</f>
        <v>0</v>
      </c>
      <c r="O140" s="224"/>
      <c r="P140" s="224"/>
      <c r="Q140" s="224"/>
      <c r="R140" s="127"/>
      <c r="T140" s="128"/>
      <c r="U140" s="125"/>
      <c r="V140" s="125"/>
      <c r="W140" s="129">
        <f>SUM($W$141:$W$157)</f>
        <v>42.654137</v>
      </c>
      <c r="X140" s="125"/>
      <c r="Y140" s="129">
        <f>SUM($Y$141:$Y$157)</f>
        <v>0.03129</v>
      </c>
      <c r="Z140" s="125"/>
      <c r="AA140" s="130">
        <f>SUM($AA$141:$AA$157)</f>
        <v>0</v>
      </c>
      <c r="AR140" s="131" t="s">
        <v>103</v>
      </c>
      <c r="AT140" s="131" t="s">
        <v>72</v>
      </c>
      <c r="AU140" s="131" t="s">
        <v>17</v>
      </c>
      <c r="AY140" s="131" t="s">
        <v>144</v>
      </c>
      <c r="BK140" s="132">
        <f>SUM($BK$141:$BK$157)</f>
        <v>0</v>
      </c>
    </row>
    <row r="141" spans="2:64" s="6" customFormat="1" ht="15.75" customHeight="1">
      <c r="B141" s="22"/>
      <c r="C141" s="134" t="s">
        <v>193</v>
      </c>
      <c r="D141" s="134" t="s">
        <v>145</v>
      </c>
      <c r="E141" s="135" t="s">
        <v>194</v>
      </c>
      <c r="F141" s="217" t="s">
        <v>195</v>
      </c>
      <c r="G141" s="218"/>
      <c r="H141" s="218"/>
      <c r="I141" s="218"/>
      <c r="J141" s="136" t="s">
        <v>155</v>
      </c>
      <c r="K141" s="137">
        <v>8</v>
      </c>
      <c r="L141" s="219">
        <v>0</v>
      </c>
      <c r="M141" s="218"/>
      <c r="N141" s="220">
        <f>ROUND($L$141*$K$141,2)</f>
        <v>0</v>
      </c>
      <c r="O141" s="218"/>
      <c r="P141" s="218"/>
      <c r="Q141" s="218"/>
      <c r="R141" s="24"/>
      <c r="T141" s="138"/>
      <c r="U141" s="30" t="s">
        <v>38</v>
      </c>
      <c r="V141" s="139">
        <v>0.021</v>
      </c>
      <c r="W141" s="139">
        <f>$V$141*$K$141</f>
        <v>0.168</v>
      </c>
      <c r="X141" s="139">
        <v>0</v>
      </c>
      <c r="Y141" s="139">
        <f>$X$141*$K$141</f>
        <v>0</v>
      </c>
      <c r="Z141" s="139">
        <v>0</v>
      </c>
      <c r="AA141" s="140">
        <f>$Z$141*$K$141</f>
        <v>0</v>
      </c>
      <c r="AR141" s="6" t="s">
        <v>149</v>
      </c>
      <c r="AT141" s="6" t="s">
        <v>145</v>
      </c>
      <c r="AU141" s="6" t="s">
        <v>103</v>
      </c>
      <c r="AY141" s="6" t="s">
        <v>144</v>
      </c>
      <c r="BE141" s="88">
        <f>IF($U$141="základní",$N$141,0)</f>
        <v>0</v>
      </c>
      <c r="BF141" s="88">
        <f>IF($U$141="snížená",$N$141,0)</f>
        <v>0</v>
      </c>
      <c r="BG141" s="88">
        <f>IF($U$141="zákl. přenesená",$N$141,0)</f>
        <v>0</v>
      </c>
      <c r="BH141" s="88">
        <f>IF($U$141="sníž. přenesená",$N$141,0)</f>
        <v>0</v>
      </c>
      <c r="BI141" s="88">
        <f>IF($U$141="nulová",$N$141,0)</f>
        <v>0</v>
      </c>
      <c r="BJ141" s="6" t="s">
        <v>17</v>
      </c>
      <c r="BK141" s="88">
        <f>ROUND($L$141*$K$141,2)</f>
        <v>0</v>
      </c>
      <c r="BL141" s="6" t="s">
        <v>149</v>
      </c>
    </row>
    <row r="142" spans="2:64" s="6" customFormat="1" ht="15.75" customHeight="1">
      <c r="B142" s="22"/>
      <c r="C142" s="134" t="s">
        <v>196</v>
      </c>
      <c r="D142" s="134" t="s">
        <v>145</v>
      </c>
      <c r="E142" s="135" t="s">
        <v>197</v>
      </c>
      <c r="F142" s="217" t="s">
        <v>198</v>
      </c>
      <c r="G142" s="218"/>
      <c r="H142" s="218"/>
      <c r="I142" s="218"/>
      <c r="J142" s="136" t="s">
        <v>155</v>
      </c>
      <c r="K142" s="137">
        <v>8</v>
      </c>
      <c r="L142" s="219">
        <v>0</v>
      </c>
      <c r="M142" s="218"/>
      <c r="N142" s="220">
        <f>ROUND($L$142*$K$142,2)</f>
        <v>0</v>
      </c>
      <c r="O142" s="218"/>
      <c r="P142" s="218"/>
      <c r="Q142" s="218"/>
      <c r="R142" s="24"/>
      <c r="T142" s="138"/>
      <c r="U142" s="30" t="s">
        <v>38</v>
      </c>
      <c r="V142" s="139">
        <v>0.024</v>
      </c>
      <c r="W142" s="139">
        <f>$V$142*$K$142</f>
        <v>0.192</v>
      </c>
      <c r="X142" s="139">
        <v>0</v>
      </c>
      <c r="Y142" s="139">
        <f>$X$142*$K$142</f>
        <v>0</v>
      </c>
      <c r="Z142" s="139">
        <v>0</v>
      </c>
      <c r="AA142" s="140">
        <f>$Z$142*$K$142</f>
        <v>0</v>
      </c>
      <c r="AR142" s="6" t="s">
        <v>149</v>
      </c>
      <c r="AT142" s="6" t="s">
        <v>145</v>
      </c>
      <c r="AU142" s="6" t="s">
        <v>103</v>
      </c>
      <c r="AY142" s="6" t="s">
        <v>144</v>
      </c>
      <c r="BE142" s="88">
        <f>IF($U$142="základní",$N$142,0)</f>
        <v>0</v>
      </c>
      <c r="BF142" s="88">
        <f>IF($U$142="snížená",$N$142,0)</f>
        <v>0</v>
      </c>
      <c r="BG142" s="88">
        <f>IF($U$142="zákl. přenesená",$N$142,0)</f>
        <v>0</v>
      </c>
      <c r="BH142" s="88">
        <f>IF($U$142="sníž. přenesená",$N$142,0)</f>
        <v>0</v>
      </c>
      <c r="BI142" s="88">
        <f>IF($U$142="nulová",$N$142,0)</f>
        <v>0</v>
      </c>
      <c r="BJ142" s="6" t="s">
        <v>17</v>
      </c>
      <c r="BK142" s="88">
        <f>ROUND($L$142*$K$142,2)</f>
        <v>0</v>
      </c>
      <c r="BL142" s="6" t="s">
        <v>149</v>
      </c>
    </row>
    <row r="143" spans="2:64" s="6" customFormat="1" ht="27" customHeight="1">
      <c r="B143" s="22"/>
      <c r="C143" s="134" t="s">
        <v>199</v>
      </c>
      <c r="D143" s="134" t="s">
        <v>145</v>
      </c>
      <c r="E143" s="135" t="s">
        <v>200</v>
      </c>
      <c r="F143" s="217" t="s">
        <v>201</v>
      </c>
      <c r="G143" s="218"/>
      <c r="H143" s="218"/>
      <c r="I143" s="218"/>
      <c r="J143" s="136" t="s">
        <v>155</v>
      </c>
      <c r="K143" s="137">
        <v>4</v>
      </c>
      <c r="L143" s="219">
        <v>0</v>
      </c>
      <c r="M143" s="218"/>
      <c r="N143" s="220">
        <f>ROUND($L$143*$K$143,2)</f>
        <v>0</v>
      </c>
      <c r="O143" s="218"/>
      <c r="P143" s="218"/>
      <c r="Q143" s="218"/>
      <c r="R143" s="24"/>
      <c r="T143" s="138"/>
      <c r="U143" s="30" t="s">
        <v>38</v>
      </c>
      <c r="V143" s="139">
        <v>0.28</v>
      </c>
      <c r="W143" s="139">
        <f>$V$143*$K$143</f>
        <v>1.12</v>
      </c>
      <c r="X143" s="139">
        <v>4E-05</v>
      </c>
      <c r="Y143" s="139">
        <f>$X$143*$K$143</f>
        <v>0.00016</v>
      </c>
      <c r="Z143" s="139">
        <v>0</v>
      </c>
      <c r="AA143" s="140">
        <f>$Z$143*$K$143</f>
        <v>0</v>
      </c>
      <c r="AR143" s="6" t="s">
        <v>149</v>
      </c>
      <c r="AT143" s="6" t="s">
        <v>145</v>
      </c>
      <c r="AU143" s="6" t="s">
        <v>103</v>
      </c>
      <c r="AY143" s="6" t="s">
        <v>144</v>
      </c>
      <c r="BE143" s="88">
        <f>IF($U$143="základní",$N$143,0)</f>
        <v>0</v>
      </c>
      <c r="BF143" s="88">
        <f>IF($U$143="snížená",$N$143,0)</f>
        <v>0</v>
      </c>
      <c r="BG143" s="88">
        <f>IF($U$143="zákl. přenesená",$N$143,0)</f>
        <v>0</v>
      </c>
      <c r="BH143" s="88">
        <f>IF($U$143="sníž. přenesená",$N$143,0)</f>
        <v>0</v>
      </c>
      <c r="BI143" s="88">
        <f>IF($U$143="nulová",$N$143,0)</f>
        <v>0</v>
      </c>
      <c r="BJ143" s="6" t="s">
        <v>17</v>
      </c>
      <c r="BK143" s="88">
        <f>ROUND($L$143*$K$143,2)</f>
        <v>0</v>
      </c>
      <c r="BL143" s="6" t="s">
        <v>149</v>
      </c>
    </row>
    <row r="144" spans="2:64" s="6" customFormat="1" ht="27" customHeight="1">
      <c r="B144" s="22"/>
      <c r="C144" s="134" t="s">
        <v>202</v>
      </c>
      <c r="D144" s="134" t="s">
        <v>145</v>
      </c>
      <c r="E144" s="135" t="s">
        <v>203</v>
      </c>
      <c r="F144" s="217" t="s">
        <v>204</v>
      </c>
      <c r="G144" s="218"/>
      <c r="H144" s="218"/>
      <c r="I144" s="218"/>
      <c r="J144" s="136" t="s">
        <v>155</v>
      </c>
      <c r="K144" s="137">
        <v>4</v>
      </c>
      <c r="L144" s="219">
        <v>0</v>
      </c>
      <c r="M144" s="218"/>
      <c r="N144" s="220">
        <f>ROUND($L$144*$K$144,2)</f>
        <v>0</v>
      </c>
      <c r="O144" s="218"/>
      <c r="P144" s="218"/>
      <c r="Q144" s="218"/>
      <c r="R144" s="24"/>
      <c r="T144" s="138"/>
      <c r="U144" s="30" t="s">
        <v>38</v>
      </c>
      <c r="V144" s="139">
        <v>0.318</v>
      </c>
      <c r="W144" s="139">
        <f>$V$144*$K$144</f>
        <v>1.272</v>
      </c>
      <c r="X144" s="139">
        <v>5E-05</v>
      </c>
      <c r="Y144" s="139">
        <f>$X$144*$K$144</f>
        <v>0.0002</v>
      </c>
      <c r="Z144" s="139">
        <v>0</v>
      </c>
      <c r="AA144" s="140">
        <f>$Z$144*$K$144</f>
        <v>0</v>
      </c>
      <c r="AR144" s="6" t="s">
        <v>149</v>
      </c>
      <c r="AT144" s="6" t="s">
        <v>145</v>
      </c>
      <c r="AU144" s="6" t="s">
        <v>103</v>
      </c>
      <c r="AY144" s="6" t="s">
        <v>144</v>
      </c>
      <c r="BE144" s="88">
        <f>IF($U$144="základní",$N$144,0)</f>
        <v>0</v>
      </c>
      <c r="BF144" s="88">
        <f>IF($U$144="snížená",$N$144,0)</f>
        <v>0</v>
      </c>
      <c r="BG144" s="88">
        <f>IF($U$144="zákl. přenesená",$N$144,0)</f>
        <v>0</v>
      </c>
      <c r="BH144" s="88">
        <f>IF($U$144="sníž. přenesená",$N$144,0)</f>
        <v>0</v>
      </c>
      <c r="BI144" s="88">
        <f>IF($U$144="nulová",$N$144,0)</f>
        <v>0</v>
      </c>
      <c r="BJ144" s="6" t="s">
        <v>17</v>
      </c>
      <c r="BK144" s="88">
        <f>ROUND($L$144*$K$144,2)</f>
        <v>0</v>
      </c>
      <c r="BL144" s="6" t="s">
        <v>149</v>
      </c>
    </row>
    <row r="145" spans="2:64" s="6" customFormat="1" ht="15.75" customHeight="1">
      <c r="B145" s="22"/>
      <c r="C145" s="134" t="s">
        <v>7</v>
      </c>
      <c r="D145" s="134" t="s">
        <v>145</v>
      </c>
      <c r="E145" s="135" t="s">
        <v>205</v>
      </c>
      <c r="F145" s="217" t="s">
        <v>206</v>
      </c>
      <c r="G145" s="218"/>
      <c r="H145" s="218"/>
      <c r="I145" s="218"/>
      <c r="J145" s="136" t="s">
        <v>155</v>
      </c>
      <c r="K145" s="137">
        <v>14</v>
      </c>
      <c r="L145" s="219">
        <v>0</v>
      </c>
      <c r="M145" s="218"/>
      <c r="N145" s="220">
        <f>ROUND($L$145*$K$145,2)</f>
        <v>0</v>
      </c>
      <c r="O145" s="218"/>
      <c r="P145" s="218"/>
      <c r="Q145" s="218"/>
      <c r="R145" s="24"/>
      <c r="T145" s="138"/>
      <c r="U145" s="30" t="s">
        <v>38</v>
      </c>
      <c r="V145" s="139">
        <v>0.08</v>
      </c>
      <c r="W145" s="139">
        <f>$V$145*$K$145</f>
        <v>1.12</v>
      </c>
      <c r="X145" s="139">
        <v>0</v>
      </c>
      <c r="Y145" s="139">
        <f>$X$145*$K$145</f>
        <v>0</v>
      </c>
      <c r="Z145" s="139">
        <v>0</v>
      </c>
      <c r="AA145" s="140">
        <f>$Z$145*$K$145</f>
        <v>0</v>
      </c>
      <c r="AR145" s="6" t="s">
        <v>149</v>
      </c>
      <c r="AT145" s="6" t="s">
        <v>145</v>
      </c>
      <c r="AU145" s="6" t="s">
        <v>103</v>
      </c>
      <c r="AY145" s="6" t="s">
        <v>144</v>
      </c>
      <c r="BE145" s="88">
        <f>IF($U$145="základní",$N$145,0)</f>
        <v>0</v>
      </c>
      <c r="BF145" s="88">
        <f>IF($U$145="snížená",$N$145,0)</f>
        <v>0</v>
      </c>
      <c r="BG145" s="88">
        <f>IF($U$145="zákl. přenesená",$N$145,0)</f>
        <v>0</v>
      </c>
      <c r="BH145" s="88">
        <f>IF($U$145="sníž. přenesená",$N$145,0)</f>
        <v>0</v>
      </c>
      <c r="BI145" s="88">
        <f>IF($U$145="nulová",$N$145,0)</f>
        <v>0</v>
      </c>
      <c r="BJ145" s="6" t="s">
        <v>17</v>
      </c>
      <c r="BK145" s="88">
        <f>ROUND($L$145*$K$145,2)</f>
        <v>0</v>
      </c>
      <c r="BL145" s="6" t="s">
        <v>149</v>
      </c>
    </row>
    <row r="146" spans="2:64" s="6" customFormat="1" ht="15.75" customHeight="1">
      <c r="B146" s="22"/>
      <c r="C146" s="134" t="s">
        <v>207</v>
      </c>
      <c r="D146" s="134" t="s">
        <v>145</v>
      </c>
      <c r="E146" s="135" t="s">
        <v>208</v>
      </c>
      <c r="F146" s="217" t="s">
        <v>209</v>
      </c>
      <c r="G146" s="218"/>
      <c r="H146" s="218"/>
      <c r="I146" s="218"/>
      <c r="J146" s="136" t="s">
        <v>155</v>
      </c>
      <c r="K146" s="137">
        <v>8</v>
      </c>
      <c r="L146" s="219">
        <v>0</v>
      </c>
      <c r="M146" s="218"/>
      <c r="N146" s="220">
        <f>ROUND($L$146*$K$146,2)</f>
        <v>0</v>
      </c>
      <c r="O146" s="218"/>
      <c r="P146" s="218"/>
      <c r="Q146" s="218"/>
      <c r="R146" s="24"/>
      <c r="T146" s="138"/>
      <c r="U146" s="30" t="s">
        <v>38</v>
      </c>
      <c r="V146" s="139">
        <v>0.12</v>
      </c>
      <c r="W146" s="139">
        <f>$V$146*$K$146</f>
        <v>0.96</v>
      </c>
      <c r="X146" s="139">
        <v>0</v>
      </c>
      <c r="Y146" s="139">
        <f>$X$146*$K$146</f>
        <v>0</v>
      </c>
      <c r="Z146" s="139">
        <v>0</v>
      </c>
      <c r="AA146" s="140">
        <f>$Z$146*$K$146</f>
        <v>0</v>
      </c>
      <c r="AR146" s="6" t="s">
        <v>149</v>
      </c>
      <c r="AT146" s="6" t="s">
        <v>145</v>
      </c>
      <c r="AU146" s="6" t="s">
        <v>103</v>
      </c>
      <c r="AY146" s="6" t="s">
        <v>144</v>
      </c>
      <c r="BE146" s="88">
        <f>IF($U$146="základní",$N$146,0)</f>
        <v>0</v>
      </c>
      <c r="BF146" s="88">
        <f>IF($U$146="snížená",$N$146,0)</f>
        <v>0</v>
      </c>
      <c r="BG146" s="88">
        <f>IF($U$146="zákl. přenesená",$N$146,0)</f>
        <v>0</v>
      </c>
      <c r="BH146" s="88">
        <f>IF($U$146="sníž. přenesená",$N$146,0)</f>
        <v>0</v>
      </c>
      <c r="BI146" s="88">
        <f>IF($U$146="nulová",$N$146,0)</f>
        <v>0</v>
      </c>
      <c r="BJ146" s="6" t="s">
        <v>17</v>
      </c>
      <c r="BK146" s="88">
        <f>ROUND($L$146*$K$146,2)</f>
        <v>0</v>
      </c>
      <c r="BL146" s="6" t="s">
        <v>149</v>
      </c>
    </row>
    <row r="147" spans="2:64" s="6" customFormat="1" ht="15.75" customHeight="1">
      <c r="B147" s="22"/>
      <c r="C147" s="134" t="s">
        <v>210</v>
      </c>
      <c r="D147" s="134" t="s">
        <v>145</v>
      </c>
      <c r="E147" s="135" t="s">
        <v>211</v>
      </c>
      <c r="F147" s="217" t="s">
        <v>212</v>
      </c>
      <c r="G147" s="218"/>
      <c r="H147" s="218"/>
      <c r="I147" s="218"/>
      <c r="J147" s="136" t="s">
        <v>155</v>
      </c>
      <c r="K147" s="137">
        <v>8</v>
      </c>
      <c r="L147" s="219">
        <v>0</v>
      </c>
      <c r="M147" s="218"/>
      <c r="N147" s="220">
        <f>ROUND($L$147*$K$147,2)</f>
        <v>0</v>
      </c>
      <c r="O147" s="218"/>
      <c r="P147" s="218"/>
      <c r="Q147" s="218"/>
      <c r="R147" s="24"/>
      <c r="T147" s="138"/>
      <c r="U147" s="30" t="s">
        <v>38</v>
      </c>
      <c r="V147" s="139">
        <v>0.14</v>
      </c>
      <c r="W147" s="139">
        <f>$V$147*$K$147</f>
        <v>1.12</v>
      </c>
      <c r="X147" s="139">
        <v>0</v>
      </c>
      <c r="Y147" s="139">
        <f>$X$147*$K$147</f>
        <v>0</v>
      </c>
      <c r="Z147" s="139">
        <v>0</v>
      </c>
      <c r="AA147" s="140">
        <f>$Z$147*$K$147</f>
        <v>0</v>
      </c>
      <c r="AR147" s="6" t="s">
        <v>149</v>
      </c>
      <c r="AT147" s="6" t="s">
        <v>145</v>
      </c>
      <c r="AU147" s="6" t="s">
        <v>103</v>
      </c>
      <c r="AY147" s="6" t="s">
        <v>144</v>
      </c>
      <c r="BE147" s="88">
        <f>IF($U$147="základní",$N$147,0)</f>
        <v>0</v>
      </c>
      <c r="BF147" s="88">
        <f>IF($U$147="snížená",$N$147,0)</f>
        <v>0</v>
      </c>
      <c r="BG147" s="88">
        <f>IF($U$147="zákl. přenesená",$N$147,0)</f>
        <v>0</v>
      </c>
      <c r="BH147" s="88">
        <f>IF($U$147="sníž. přenesená",$N$147,0)</f>
        <v>0</v>
      </c>
      <c r="BI147" s="88">
        <f>IF($U$147="nulová",$N$147,0)</f>
        <v>0</v>
      </c>
      <c r="BJ147" s="6" t="s">
        <v>17</v>
      </c>
      <c r="BK147" s="88">
        <f>ROUND($L$147*$K$147,2)</f>
        <v>0</v>
      </c>
      <c r="BL147" s="6" t="s">
        <v>149</v>
      </c>
    </row>
    <row r="148" spans="2:64" s="6" customFormat="1" ht="27" customHeight="1">
      <c r="B148" s="22"/>
      <c r="C148" s="134" t="s">
        <v>213</v>
      </c>
      <c r="D148" s="134" t="s">
        <v>145</v>
      </c>
      <c r="E148" s="135" t="s">
        <v>214</v>
      </c>
      <c r="F148" s="217" t="s">
        <v>215</v>
      </c>
      <c r="G148" s="218"/>
      <c r="H148" s="218"/>
      <c r="I148" s="218"/>
      <c r="J148" s="136" t="s">
        <v>148</v>
      </c>
      <c r="K148" s="137">
        <v>22</v>
      </c>
      <c r="L148" s="219">
        <v>0</v>
      </c>
      <c r="M148" s="218"/>
      <c r="N148" s="220">
        <f>ROUND($L$148*$K$148,2)</f>
        <v>0</v>
      </c>
      <c r="O148" s="218"/>
      <c r="P148" s="218"/>
      <c r="Q148" s="218"/>
      <c r="R148" s="24"/>
      <c r="T148" s="138"/>
      <c r="U148" s="30" t="s">
        <v>38</v>
      </c>
      <c r="V148" s="139">
        <v>0.529</v>
      </c>
      <c r="W148" s="139">
        <f>$V$148*$K$148</f>
        <v>11.638</v>
      </c>
      <c r="X148" s="139">
        <v>0.00066</v>
      </c>
      <c r="Y148" s="139">
        <f>$X$148*$K$148</f>
        <v>0.01452</v>
      </c>
      <c r="Z148" s="139">
        <v>0</v>
      </c>
      <c r="AA148" s="140">
        <f>$Z$148*$K$148</f>
        <v>0</v>
      </c>
      <c r="AR148" s="6" t="s">
        <v>149</v>
      </c>
      <c r="AT148" s="6" t="s">
        <v>145</v>
      </c>
      <c r="AU148" s="6" t="s">
        <v>103</v>
      </c>
      <c r="AY148" s="6" t="s">
        <v>144</v>
      </c>
      <c r="BE148" s="88">
        <f>IF($U$148="základní",$N$148,0)</f>
        <v>0</v>
      </c>
      <c r="BF148" s="88">
        <f>IF($U$148="snížená",$N$148,0)</f>
        <v>0</v>
      </c>
      <c r="BG148" s="88">
        <f>IF($U$148="zákl. přenesená",$N$148,0)</f>
        <v>0</v>
      </c>
      <c r="BH148" s="88">
        <f>IF($U$148="sníž. přenesená",$N$148,0)</f>
        <v>0</v>
      </c>
      <c r="BI148" s="88">
        <f>IF($U$148="nulová",$N$148,0)</f>
        <v>0</v>
      </c>
      <c r="BJ148" s="6" t="s">
        <v>17</v>
      </c>
      <c r="BK148" s="88">
        <f>ROUND($L$148*$K$148,2)</f>
        <v>0</v>
      </c>
      <c r="BL148" s="6" t="s">
        <v>149</v>
      </c>
    </row>
    <row r="149" spans="2:64" s="6" customFormat="1" ht="27" customHeight="1">
      <c r="B149" s="22"/>
      <c r="C149" s="134" t="s">
        <v>216</v>
      </c>
      <c r="D149" s="134" t="s">
        <v>145</v>
      </c>
      <c r="E149" s="135" t="s">
        <v>217</v>
      </c>
      <c r="F149" s="217" t="s">
        <v>218</v>
      </c>
      <c r="G149" s="218"/>
      <c r="H149" s="218"/>
      <c r="I149" s="218"/>
      <c r="J149" s="136" t="s">
        <v>148</v>
      </c>
      <c r="K149" s="137">
        <v>7</v>
      </c>
      <c r="L149" s="219">
        <v>0</v>
      </c>
      <c r="M149" s="218"/>
      <c r="N149" s="220">
        <f>ROUND($L$149*$K$149,2)</f>
        <v>0</v>
      </c>
      <c r="O149" s="218"/>
      <c r="P149" s="218"/>
      <c r="Q149" s="218"/>
      <c r="R149" s="24"/>
      <c r="T149" s="138"/>
      <c r="U149" s="30" t="s">
        <v>38</v>
      </c>
      <c r="V149" s="139">
        <v>0.616</v>
      </c>
      <c r="W149" s="139">
        <f>$V$149*$K$149</f>
        <v>4.312</v>
      </c>
      <c r="X149" s="139">
        <v>0.00091</v>
      </c>
      <c r="Y149" s="139">
        <f>$X$149*$K$149</f>
        <v>0.00637</v>
      </c>
      <c r="Z149" s="139">
        <v>0</v>
      </c>
      <c r="AA149" s="140">
        <f>$Z$149*$K$149</f>
        <v>0</v>
      </c>
      <c r="AR149" s="6" t="s">
        <v>149</v>
      </c>
      <c r="AT149" s="6" t="s">
        <v>145</v>
      </c>
      <c r="AU149" s="6" t="s">
        <v>103</v>
      </c>
      <c r="AY149" s="6" t="s">
        <v>144</v>
      </c>
      <c r="BE149" s="88">
        <f>IF($U$149="základní",$N$149,0)</f>
        <v>0</v>
      </c>
      <c r="BF149" s="88">
        <f>IF($U$149="snížená",$N$149,0)</f>
        <v>0</v>
      </c>
      <c r="BG149" s="88">
        <f>IF($U$149="zákl. přenesená",$N$149,0)</f>
        <v>0</v>
      </c>
      <c r="BH149" s="88">
        <f>IF($U$149="sníž. přenesená",$N$149,0)</f>
        <v>0</v>
      </c>
      <c r="BI149" s="88">
        <f>IF($U$149="nulová",$N$149,0)</f>
        <v>0</v>
      </c>
      <c r="BJ149" s="6" t="s">
        <v>17</v>
      </c>
      <c r="BK149" s="88">
        <f>ROUND($L$149*$K$149,2)</f>
        <v>0</v>
      </c>
      <c r="BL149" s="6" t="s">
        <v>149</v>
      </c>
    </row>
    <row r="150" spans="2:64" s="6" customFormat="1" ht="27" customHeight="1">
      <c r="B150" s="22"/>
      <c r="C150" s="134" t="s">
        <v>219</v>
      </c>
      <c r="D150" s="134" t="s">
        <v>145</v>
      </c>
      <c r="E150" s="135" t="s">
        <v>220</v>
      </c>
      <c r="F150" s="217" t="s">
        <v>221</v>
      </c>
      <c r="G150" s="218"/>
      <c r="H150" s="218"/>
      <c r="I150" s="218"/>
      <c r="J150" s="136" t="s">
        <v>148</v>
      </c>
      <c r="K150" s="137">
        <v>22</v>
      </c>
      <c r="L150" s="219">
        <v>0</v>
      </c>
      <c r="M150" s="218"/>
      <c r="N150" s="220">
        <f>ROUND($L$150*$K$150,2)</f>
        <v>0</v>
      </c>
      <c r="O150" s="218"/>
      <c r="P150" s="218"/>
      <c r="Q150" s="218"/>
      <c r="R150" s="24"/>
      <c r="T150" s="138"/>
      <c r="U150" s="30" t="s">
        <v>38</v>
      </c>
      <c r="V150" s="139">
        <v>0.052</v>
      </c>
      <c r="W150" s="139">
        <f>$V$150*$K$150</f>
        <v>1.144</v>
      </c>
      <c r="X150" s="139">
        <v>0.00013</v>
      </c>
      <c r="Y150" s="139">
        <f>$X$150*$K$150</f>
        <v>0.0028599999999999997</v>
      </c>
      <c r="Z150" s="139">
        <v>0</v>
      </c>
      <c r="AA150" s="140">
        <f>$Z$150*$K$150</f>
        <v>0</v>
      </c>
      <c r="AR150" s="6" t="s">
        <v>149</v>
      </c>
      <c r="AT150" s="6" t="s">
        <v>145</v>
      </c>
      <c r="AU150" s="6" t="s">
        <v>103</v>
      </c>
      <c r="AY150" s="6" t="s">
        <v>144</v>
      </c>
      <c r="BE150" s="88">
        <f>IF($U$150="základní",$N$150,0)</f>
        <v>0</v>
      </c>
      <c r="BF150" s="88">
        <f>IF($U$150="snížená",$N$150,0)</f>
        <v>0</v>
      </c>
      <c r="BG150" s="88">
        <f>IF($U$150="zákl. přenesená",$N$150,0)</f>
        <v>0</v>
      </c>
      <c r="BH150" s="88">
        <f>IF($U$150="sníž. přenesená",$N$150,0)</f>
        <v>0</v>
      </c>
      <c r="BI150" s="88">
        <f>IF($U$150="nulová",$N$150,0)</f>
        <v>0</v>
      </c>
      <c r="BJ150" s="6" t="s">
        <v>17</v>
      </c>
      <c r="BK150" s="88">
        <f>ROUND($L$150*$K$150,2)</f>
        <v>0</v>
      </c>
      <c r="BL150" s="6" t="s">
        <v>149</v>
      </c>
    </row>
    <row r="151" spans="2:64" s="6" customFormat="1" ht="27" customHeight="1">
      <c r="B151" s="22"/>
      <c r="C151" s="134" t="s">
        <v>222</v>
      </c>
      <c r="D151" s="134" t="s">
        <v>145</v>
      </c>
      <c r="E151" s="135" t="s">
        <v>223</v>
      </c>
      <c r="F151" s="217" t="s">
        <v>224</v>
      </c>
      <c r="G151" s="218"/>
      <c r="H151" s="218"/>
      <c r="I151" s="218"/>
      <c r="J151" s="136" t="s">
        <v>148</v>
      </c>
      <c r="K151" s="137">
        <v>7</v>
      </c>
      <c r="L151" s="219">
        <v>0</v>
      </c>
      <c r="M151" s="218"/>
      <c r="N151" s="220">
        <f>ROUND($L$151*$K$151,2)</f>
        <v>0</v>
      </c>
      <c r="O151" s="218"/>
      <c r="P151" s="218"/>
      <c r="Q151" s="218"/>
      <c r="R151" s="24"/>
      <c r="T151" s="138"/>
      <c r="U151" s="30" t="s">
        <v>38</v>
      </c>
      <c r="V151" s="139">
        <v>0.062</v>
      </c>
      <c r="W151" s="139">
        <f>$V$151*$K$151</f>
        <v>0.434</v>
      </c>
      <c r="X151" s="139">
        <v>0.00016</v>
      </c>
      <c r="Y151" s="139">
        <f>$X$151*$K$151</f>
        <v>0.0011200000000000001</v>
      </c>
      <c r="Z151" s="139">
        <v>0</v>
      </c>
      <c r="AA151" s="140">
        <f>$Z$151*$K$151</f>
        <v>0</v>
      </c>
      <c r="AR151" s="6" t="s">
        <v>149</v>
      </c>
      <c r="AT151" s="6" t="s">
        <v>145</v>
      </c>
      <c r="AU151" s="6" t="s">
        <v>103</v>
      </c>
      <c r="AY151" s="6" t="s">
        <v>144</v>
      </c>
      <c r="BE151" s="88">
        <f>IF($U$151="základní",$N$151,0)</f>
        <v>0</v>
      </c>
      <c r="BF151" s="88">
        <f>IF($U$151="snížená",$N$151,0)</f>
        <v>0</v>
      </c>
      <c r="BG151" s="88">
        <f>IF($U$151="zákl. přenesená",$N$151,0)</f>
        <v>0</v>
      </c>
      <c r="BH151" s="88">
        <f>IF($U$151="sníž. přenesená",$N$151,0)</f>
        <v>0</v>
      </c>
      <c r="BI151" s="88">
        <f>IF($U$151="nulová",$N$151,0)</f>
        <v>0</v>
      </c>
      <c r="BJ151" s="6" t="s">
        <v>17</v>
      </c>
      <c r="BK151" s="88">
        <f>ROUND($L$151*$K$151,2)</f>
        <v>0</v>
      </c>
      <c r="BL151" s="6" t="s">
        <v>149</v>
      </c>
    </row>
    <row r="152" spans="2:64" s="6" customFormat="1" ht="15.75" customHeight="1">
      <c r="B152" s="22"/>
      <c r="C152" s="134" t="s">
        <v>225</v>
      </c>
      <c r="D152" s="134" t="s">
        <v>145</v>
      </c>
      <c r="E152" s="135" t="s">
        <v>226</v>
      </c>
      <c r="F152" s="217" t="s">
        <v>227</v>
      </c>
      <c r="G152" s="218"/>
      <c r="H152" s="218"/>
      <c r="I152" s="218"/>
      <c r="J152" s="136" t="s">
        <v>155</v>
      </c>
      <c r="K152" s="137">
        <v>33</v>
      </c>
      <c r="L152" s="219">
        <v>0</v>
      </c>
      <c r="M152" s="218"/>
      <c r="N152" s="220">
        <f>ROUND($L$152*$K$152,2)</f>
        <v>0</v>
      </c>
      <c r="O152" s="218"/>
      <c r="P152" s="218"/>
      <c r="Q152" s="218"/>
      <c r="R152" s="24"/>
      <c r="T152" s="138"/>
      <c r="U152" s="30" t="s">
        <v>38</v>
      </c>
      <c r="V152" s="139">
        <v>0.425</v>
      </c>
      <c r="W152" s="139">
        <f>$V$152*$K$152</f>
        <v>14.025</v>
      </c>
      <c r="X152" s="139">
        <v>0</v>
      </c>
      <c r="Y152" s="139">
        <f>$X$152*$K$152</f>
        <v>0</v>
      </c>
      <c r="Z152" s="139">
        <v>0</v>
      </c>
      <c r="AA152" s="140">
        <f>$Z$152*$K$152</f>
        <v>0</v>
      </c>
      <c r="AR152" s="6" t="s">
        <v>149</v>
      </c>
      <c r="AT152" s="6" t="s">
        <v>145</v>
      </c>
      <c r="AU152" s="6" t="s">
        <v>103</v>
      </c>
      <c r="AY152" s="6" t="s">
        <v>144</v>
      </c>
      <c r="BE152" s="88">
        <f>IF($U$152="základní",$N$152,0)</f>
        <v>0</v>
      </c>
      <c r="BF152" s="88">
        <f>IF($U$152="snížená",$N$152,0)</f>
        <v>0</v>
      </c>
      <c r="BG152" s="88">
        <f>IF($U$152="zákl. přenesená",$N$152,0)</f>
        <v>0</v>
      </c>
      <c r="BH152" s="88">
        <f>IF($U$152="sníž. přenesená",$N$152,0)</f>
        <v>0</v>
      </c>
      <c r="BI152" s="88">
        <f>IF($U$152="nulová",$N$152,0)</f>
        <v>0</v>
      </c>
      <c r="BJ152" s="6" t="s">
        <v>17</v>
      </c>
      <c r="BK152" s="88">
        <f>ROUND($L$152*$K$152,2)</f>
        <v>0</v>
      </c>
      <c r="BL152" s="6" t="s">
        <v>149</v>
      </c>
    </row>
    <row r="153" spans="2:64" s="6" customFormat="1" ht="27" customHeight="1">
      <c r="B153" s="22"/>
      <c r="C153" s="134" t="s">
        <v>228</v>
      </c>
      <c r="D153" s="134" t="s">
        <v>145</v>
      </c>
      <c r="E153" s="135" t="s">
        <v>229</v>
      </c>
      <c r="F153" s="217" t="s">
        <v>230</v>
      </c>
      <c r="G153" s="218"/>
      <c r="H153" s="218"/>
      <c r="I153" s="218"/>
      <c r="J153" s="136" t="s">
        <v>155</v>
      </c>
      <c r="K153" s="137">
        <v>2</v>
      </c>
      <c r="L153" s="219">
        <v>0</v>
      </c>
      <c r="M153" s="218"/>
      <c r="N153" s="220">
        <f>ROUND($L$153*$K$153,2)</f>
        <v>0</v>
      </c>
      <c r="O153" s="218"/>
      <c r="P153" s="218"/>
      <c r="Q153" s="218"/>
      <c r="R153" s="24"/>
      <c r="T153" s="138"/>
      <c r="U153" s="30" t="s">
        <v>38</v>
      </c>
      <c r="V153" s="139">
        <v>0.165</v>
      </c>
      <c r="W153" s="139">
        <f>$V$153*$K$153</f>
        <v>0.33</v>
      </c>
      <c r="X153" s="139">
        <v>0</v>
      </c>
      <c r="Y153" s="139">
        <f>$X$153*$K$153</f>
        <v>0</v>
      </c>
      <c r="Z153" s="139">
        <v>0</v>
      </c>
      <c r="AA153" s="140">
        <f>$Z$153*$K$153</f>
        <v>0</v>
      </c>
      <c r="AR153" s="6" t="s">
        <v>149</v>
      </c>
      <c r="AT153" s="6" t="s">
        <v>145</v>
      </c>
      <c r="AU153" s="6" t="s">
        <v>103</v>
      </c>
      <c r="AY153" s="6" t="s">
        <v>144</v>
      </c>
      <c r="BE153" s="88">
        <f>IF($U$153="základní",$N$153,0)</f>
        <v>0</v>
      </c>
      <c r="BF153" s="88">
        <f>IF($U$153="snížená",$N$153,0)</f>
        <v>0</v>
      </c>
      <c r="BG153" s="88">
        <f>IF($U$153="zákl. přenesená",$N$153,0)</f>
        <v>0</v>
      </c>
      <c r="BH153" s="88">
        <f>IF($U$153="sníž. přenesená",$N$153,0)</f>
        <v>0</v>
      </c>
      <c r="BI153" s="88">
        <f>IF($U$153="nulová",$N$153,0)</f>
        <v>0</v>
      </c>
      <c r="BJ153" s="6" t="s">
        <v>17</v>
      </c>
      <c r="BK153" s="88">
        <f>ROUND($L$153*$K$153,2)</f>
        <v>0</v>
      </c>
      <c r="BL153" s="6" t="s">
        <v>149</v>
      </c>
    </row>
    <row r="154" spans="2:64" s="6" customFormat="1" ht="15.75" customHeight="1">
      <c r="B154" s="22"/>
      <c r="C154" s="134" t="s">
        <v>231</v>
      </c>
      <c r="D154" s="134" t="s">
        <v>145</v>
      </c>
      <c r="E154" s="135" t="s">
        <v>232</v>
      </c>
      <c r="F154" s="217" t="s">
        <v>233</v>
      </c>
      <c r="G154" s="218"/>
      <c r="H154" s="218"/>
      <c r="I154" s="218"/>
      <c r="J154" s="136" t="s">
        <v>234</v>
      </c>
      <c r="K154" s="137">
        <v>1</v>
      </c>
      <c r="L154" s="219">
        <v>0</v>
      </c>
      <c r="M154" s="218"/>
      <c r="N154" s="220">
        <f>ROUND($L$154*$K$154,2)</f>
        <v>0</v>
      </c>
      <c r="O154" s="218"/>
      <c r="P154" s="218"/>
      <c r="Q154" s="218"/>
      <c r="R154" s="24"/>
      <c r="T154" s="138"/>
      <c r="U154" s="30" t="s">
        <v>38</v>
      </c>
      <c r="V154" s="139">
        <v>0.457</v>
      </c>
      <c r="W154" s="139">
        <f>$V$154*$K$154</f>
        <v>0.457</v>
      </c>
      <c r="X154" s="139">
        <v>0.00026</v>
      </c>
      <c r="Y154" s="139">
        <f>$X$154*$K$154</f>
        <v>0.00026</v>
      </c>
      <c r="Z154" s="139">
        <v>0</v>
      </c>
      <c r="AA154" s="140">
        <f>$Z$154*$K$154</f>
        <v>0</v>
      </c>
      <c r="AR154" s="6" t="s">
        <v>149</v>
      </c>
      <c r="AT154" s="6" t="s">
        <v>145</v>
      </c>
      <c r="AU154" s="6" t="s">
        <v>103</v>
      </c>
      <c r="AY154" s="6" t="s">
        <v>144</v>
      </c>
      <c r="BE154" s="88">
        <f>IF($U$154="základní",$N$154,0)</f>
        <v>0</v>
      </c>
      <c r="BF154" s="88">
        <f>IF($U$154="snížená",$N$154,0)</f>
        <v>0</v>
      </c>
      <c r="BG154" s="88">
        <f>IF($U$154="zákl. přenesená",$N$154,0)</f>
        <v>0</v>
      </c>
      <c r="BH154" s="88">
        <f>IF($U$154="sníž. přenesená",$N$154,0)</f>
        <v>0</v>
      </c>
      <c r="BI154" s="88">
        <f>IF($U$154="nulová",$N$154,0)</f>
        <v>0</v>
      </c>
      <c r="BJ154" s="6" t="s">
        <v>17</v>
      </c>
      <c r="BK154" s="88">
        <f>ROUND($L$154*$K$154,2)</f>
        <v>0</v>
      </c>
      <c r="BL154" s="6" t="s">
        <v>149</v>
      </c>
    </row>
    <row r="155" spans="2:64" s="6" customFormat="1" ht="27" customHeight="1">
      <c r="B155" s="22"/>
      <c r="C155" s="134" t="s">
        <v>235</v>
      </c>
      <c r="D155" s="134" t="s">
        <v>145</v>
      </c>
      <c r="E155" s="135" t="s">
        <v>236</v>
      </c>
      <c r="F155" s="217" t="s">
        <v>237</v>
      </c>
      <c r="G155" s="218"/>
      <c r="H155" s="218"/>
      <c r="I155" s="218"/>
      <c r="J155" s="136" t="s">
        <v>148</v>
      </c>
      <c r="K155" s="137">
        <v>29</v>
      </c>
      <c r="L155" s="219">
        <v>0</v>
      </c>
      <c r="M155" s="218"/>
      <c r="N155" s="220">
        <f>ROUND($L$155*$K$155,2)</f>
        <v>0</v>
      </c>
      <c r="O155" s="218"/>
      <c r="P155" s="218"/>
      <c r="Q155" s="218"/>
      <c r="R155" s="24"/>
      <c r="T155" s="138"/>
      <c r="U155" s="30" t="s">
        <v>38</v>
      </c>
      <c r="V155" s="139">
        <v>0.067</v>
      </c>
      <c r="W155" s="139">
        <f>$V$155*$K$155</f>
        <v>1.943</v>
      </c>
      <c r="X155" s="139">
        <v>0.00019</v>
      </c>
      <c r="Y155" s="139">
        <f>$X$155*$K$155</f>
        <v>0.00551</v>
      </c>
      <c r="Z155" s="139">
        <v>0</v>
      </c>
      <c r="AA155" s="140">
        <f>$Z$155*$K$155</f>
        <v>0</v>
      </c>
      <c r="AR155" s="6" t="s">
        <v>149</v>
      </c>
      <c r="AT155" s="6" t="s">
        <v>145</v>
      </c>
      <c r="AU155" s="6" t="s">
        <v>103</v>
      </c>
      <c r="AY155" s="6" t="s">
        <v>144</v>
      </c>
      <c r="BE155" s="88">
        <f>IF($U$155="základní",$N$155,0)</f>
        <v>0</v>
      </c>
      <c r="BF155" s="88">
        <f>IF($U$155="snížená",$N$155,0)</f>
        <v>0</v>
      </c>
      <c r="BG155" s="88">
        <f>IF($U$155="zákl. přenesená",$N$155,0)</f>
        <v>0</v>
      </c>
      <c r="BH155" s="88">
        <f>IF($U$155="sníž. přenesená",$N$155,0)</f>
        <v>0</v>
      </c>
      <c r="BI155" s="88">
        <f>IF($U$155="nulová",$N$155,0)</f>
        <v>0</v>
      </c>
      <c r="BJ155" s="6" t="s">
        <v>17</v>
      </c>
      <c r="BK155" s="88">
        <f>ROUND($L$155*$K$155,2)</f>
        <v>0</v>
      </c>
      <c r="BL155" s="6" t="s">
        <v>149</v>
      </c>
    </row>
    <row r="156" spans="2:64" s="6" customFormat="1" ht="27" customHeight="1">
      <c r="B156" s="22"/>
      <c r="C156" s="134" t="s">
        <v>238</v>
      </c>
      <c r="D156" s="134" t="s">
        <v>145</v>
      </c>
      <c r="E156" s="135" t="s">
        <v>239</v>
      </c>
      <c r="F156" s="217" t="s">
        <v>240</v>
      </c>
      <c r="G156" s="218"/>
      <c r="H156" s="218"/>
      <c r="I156" s="218"/>
      <c r="J156" s="136" t="s">
        <v>148</v>
      </c>
      <c r="K156" s="137">
        <v>29</v>
      </c>
      <c r="L156" s="219">
        <v>0</v>
      </c>
      <c r="M156" s="218"/>
      <c r="N156" s="220">
        <f>ROUND($L$156*$K$156,2)</f>
        <v>0</v>
      </c>
      <c r="O156" s="218"/>
      <c r="P156" s="218"/>
      <c r="Q156" s="218"/>
      <c r="R156" s="24"/>
      <c r="T156" s="138"/>
      <c r="U156" s="30" t="s">
        <v>38</v>
      </c>
      <c r="V156" s="139">
        <v>0.082</v>
      </c>
      <c r="W156" s="139">
        <f>$V$156*$K$156</f>
        <v>2.378</v>
      </c>
      <c r="X156" s="139">
        <v>1E-05</v>
      </c>
      <c r="Y156" s="139">
        <f>$X$156*$K$156</f>
        <v>0.00029</v>
      </c>
      <c r="Z156" s="139">
        <v>0</v>
      </c>
      <c r="AA156" s="140">
        <f>$Z$156*$K$156</f>
        <v>0</v>
      </c>
      <c r="AR156" s="6" t="s">
        <v>149</v>
      </c>
      <c r="AT156" s="6" t="s">
        <v>145</v>
      </c>
      <c r="AU156" s="6" t="s">
        <v>103</v>
      </c>
      <c r="AY156" s="6" t="s">
        <v>144</v>
      </c>
      <c r="BE156" s="88">
        <f>IF($U$156="základní",$N$156,0)</f>
        <v>0</v>
      </c>
      <c r="BF156" s="88">
        <f>IF($U$156="snížená",$N$156,0)</f>
        <v>0</v>
      </c>
      <c r="BG156" s="88">
        <f>IF($U$156="zákl. přenesená",$N$156,0)</f>
        <v>0</v>
      </c>
      <c r="BH156" s="88">
        <f>IF($U$156="sníž. přenesená",$N$156,0)</f>
        <v>0</v>
      </c>
      <c r="BI156" s="88">
        <f>IF($U$156="nulová",$N$156,0)</f>
        <v>0</v>
      </c>
      <c r="BJ156" s="6" t="s">
        <v>17</v>
      </c>
      <c r="BK156" s="88">
        <f>ROUND($L$156*$K$156,2)</f>
        <v>0</v>
      </c>
      <c r="BL156" s="6" t="s">
        <v>149</v>
      </c>
    </row>
    <row r="157" spans="2:64" s="6" customFormat="1" ht="27" customHeight="1">
      <c r="B157" s="22"/>
      <c r="C157" s="134" t="s">
        <v>241</v>
      </c>
      <c r="D157" s="134" t="s">
        <v>145</v>
      </c>
      <c r="E157" s="135" t="s">
        <v>242</v>
      </c>
      <c r="F157" s="217" t="s">
        <v>243</v>
      </c>
      <c r="G157" s="218"/>
      <c r="H157" s="218"/>
      <c r="I157" s="218"/>
      <c r="J157" s="136" t="s">
        <v>185</v>
      </c>
      <c r="K157" s="137">
        <v>0.031</v>
      </c>
      <c r="L157" s="219">
        <v>0</v>
      </c>
      <c r="M157" s="218"/>
      <c r="N157" s="220">
        <f>ROUND($L$157*$K$157,2)</f>
        <v>0</v>
      </c>
      <c r="O157" s="218"/>
      <c r="P157" s="218"/>
      <c r="Q157" s="218"/>
      <c r="R157" s="24"/>
      <c r="T157" s="138"/>
      <c r="U157" s="30" t="s">
        <v>38</v>
      </c>
      <c r="V157" s="139">
        <v>1.327</v>
      </c>
      <c r="W157" s="139">
        <f>$V$157*$K$157</f>
        <v>0.041137</v>
      </c>
      <c r="X157" s="139">
        <v>0</v>
      </c>
      <c r="Y157" s="139">
        <f>$X$157*$K$157</f>
        <v>0</v>
      </c>
      <c r="Z157" s="139">
        <v>0</v>
      </c>
      <c r="AA157" s="140">
        <f>$Z$157*$K$157</f>
        <v>0</v>
      </c>
      <c r="AR157" s="6" t="s">
        <v>149</v>
      </c>
      <c r="AT157" s="6" t="s">
        <v>145</v>
      </c>
      <c r="AU157" s="6" t="s">
        <v>103</v>
      </c>
      <c r="AY157" s="6" t="s">
        <v>144</v>
      </c>
      <c r="BE157" s="88">
        <f>IF($U$157="základní",$N$157,0)</f>
        <v>0</v>
      </c>
      <c r="BF157" s="88">
        <f>IF($U$157="snížená",$N$157,0)</f>
        <v>0</v>
      </c>
      <c r="BG157" s="88">
        <f>IF($U$157="zákl. přenesená",$N$157,0)</f>
        <v>0</v>
      </c>
      <c r="BH157" s="88">
        <f>IF($U$157="sníž. přenesená",$N$157,0)</f>
        <v>0</v>
      </c>
      <c r="BI157" s="88">
        <f>IF($U$157="nulová",$N$157,0)</f>
        <v>0</v>
      </c>
      <c r="BJ157" s="6" t="s">
        <v>17</v>
      </c>
      <c r="BK157" s="88">
        <f>ROUND($L$157*$K$157,2)</f>
        <v>0</v>
      </c>
      <c r="BL157" s="6" t="s">
        <v>149</v>
      </c>
    </row>
    <row r="158" spans="2:63" s="123" customFormat="1" ht="30.75" customHeight="1">
      <c r="B158" s="124"/>
      <c r="C158" s="125"/>
      <c r="D158" s="133" t="s">
        <v>117</v>
      </c>
      <c r="E158" s="125"/>
      <c r="F158" s="125"/>
      <c r="G158" s="125"/>
      <c r="H158" s="125"/>
      <c r="I158" s="125"/>
      <c r="J158" s="125"/>
      <c r="K158" s="125"/>
      <c r="L158" s="125"/>
      <c r="M158" s="125"/>
      <c r="N158" s="225">
        <f>$BK$158</f>
        <v>0</v>
      </c>
      <c r="O158" s="224"/>
      <c r="P158" s="224"/>
      <c r="Q158" s="224"/>
      <c r="R158" s="127"/>
      <c r="T158" s="128"/>
      <c r="U158" s="125"/>
      <c r="V158" s="125"/>
      <c r="W158" s="129">
        <v>0</v>
      </c>
      <c r="X158" s="125"/>
      <c r="Y158" s="129">
        <v>0</v>
      </c>
      <c r="Z158" s="125"/>
      <c r="AA158" s="130">
        <v>0</v>
      </c>
      <c r="AR158" s="131" t="s">
        <v>103</v>
      </c>
      <c r="AT158" s="131" t="s">
        <v>72</v>
      </c>
      <c r="AU158" s="131" t="s">
        <v>17</v>
      </c>
      <c r="AY158" s="131" t="s">
        <v>144</v>
      </c>
      <c r="BK158" s="132">
        <v>0</v>
      </c>
    </row>
    <row r="159" spans="2:63" s="123" customFormat="1" ht="21" customHeight="1">
      <c r="B159" s="124"/>
      <c r="C159" s="125"/>
      <c r="D159" s="133" t="s">
        <v>118</v>
      </c>
      <c r="E159" s="125"/>
      <c r="F159" s="125"/>
      <c r="G159" s="125"/>
      <c r="H159" s="125"/>
      <c r="I159" s="125"/>
      <c r="J159" s="125"/>
      <c r="K159" s="125"/>
      <c r="L159" s="125"/>
      <c r="M159" s="125"/>
      <c r="N159" s="225">
        <f>$BK$159</f>
        <v>0</v>
      </c>
      <c r="O159" s="224"/>
      <c r="P159" s="224"/>
      <c r="Q159" s="224"/>
      <c r="R159" s="127"/>
      <c r="T159" s="128"/>
      <c r="U159" s="125"/>
      <c r="V159" s="125"/>
      <c r="W159" s="129">
        <f>SUM($W$160:$W$175)</f>
        <v>43.26276899999999</v>
      </c>
      <c r="X159" s="125"/>
      <c r="Y159" s="129">
        <f>SUM($Y$160:$Y$175)</f>
        <v>0.3136</v>
      </c>
      <c r="Z159" s="125"/>
      <c r="AA159" s="130">
        <f>SUM($AA$160:$AA$175)</f>
        <v>0.39902000000000004</v>
      </c>
      <c r="AR159" s="131" t="s">
        <v>103</v>
      </c>
      <c r="AT159" s="131" t="s">
        <v>72</v>
      </c>
      <c r="AU159" s="131" t="s">
        <v>17</v>
      </c>
      <c r="AY159" s="131" t="s">
        <v>144</v>
      </c>
      <c r="BK159" s="132">
        <f>SUM($BK$160:$BK$175)</f>
        <v>0</v>
      </c>
    </row>
    <row r="160" spans="2:64" s="6" customFormat="1" ht="15.75" customHeight="1">
      <c r="B160" s="22"/>
      <c r="C160" s="134" t="s">
        <v>244</v>
      </c>
      <c r="D160" s="134" t="s">
        <v>145</v>
      </c>
      <c r="E160" s="135" t="s">
        <v>245</v>
      </c>
      <c r="F160" s="217" t="s">
        <v>246</v>
      </c>
      <c r="G160" s="218"/>
      <c r="H160" s="218"/>
      <c r="I160" s="218"/>
      <c r="J160" s="136" t="s">
        <v>247</v>
      </c>
      <c r="K160" s="137">
        <v>5</v>
      </c>
      <c r="L160" s="219">
        <v>0</v>
      </c>
      <c r="M160" s="218"/>
      <c r="N160" s="220">
        <f>ROUND($L$160*$K$160,2)</f>
        <v>0</v>
      </c>
      <c r="O160" s="218"/>
      <c r="P160" s="218"/>
      <c r="Q160" s="218"/>
      <c r="R160" s="24"/>
      <c r="T160" s="138"/>
      <c r="U160" s="30" t="s">
        <v>38</v>
      </c>
      <c r="V160" s="139">
        <v>0.548</v>
      </c>
      <c r="W160" s="139">
        <f>$V$160*$K$160</f>
        <v>2.74</v>
      </c>
      <c r="X160" s="139">
        <v>0</v>
      </c>
      <c r="Y160" s="139">
        <f>$X$160*$K$160</f>
        <v>0</v>
      </c>
      <c r="Z160" s="139">
        <v>0.01933</v>
      </c>
      <c r="AA160" s="140">
        <f>$Z$160*$K$160</f>
        <v>0.09665</v>
      </c>
      <c r="AR160" s="6" t="s">
        <v>149</v>
      </c>
      <c r="AT160" s="6" t="s">
        <v>145</v>
      </c>
      <c r="AU160" s="6" t="s">
        <v>103</v>
      </c>
      <c r="AY160" s="6" t="s">
        <v>144</v>
      </c>
      <c r="BE160" s="88">
        <f>IF($U$160="základní",$N$160,0)</f>
        <v>0</v>
      </c>
      <c r="BF160" s="88">
        <f>IF($U$160="snížená",$N$160,0)</f>
        <v>0</v>
      </c>
      <c r="BG160" s="88">
        <f>IF($U$160="zákl. přenesená",$N$160,0)</f>
        <v>0</v>
      </c>
      <c r="BH160" s="88">
        <f>IF($U$160="sníž. přenesená",$N$160,0)</f>
        <v>0</v>
      </c>
      <c r="BI160" s="88">
        <f>IF($U$160="nulová",$N$160,0)</f>
        <v>0</v>
      </c>
      <c r="BJ160" s="6" t="s">
        <v>17</v>
      </c>
      <c r="BK160" s="88">
        <f>ROUND($L$160*$K$160,2)</f>
        <v>0</v>
      </c>
      <c r="BL160" s="6" t="s">
        <v>149</v>
      </c>
    </row>
    <row r="161" spans="2:64" s="6" customFormat="1" ht="27" customHeight="1">
      <c r="B161" s="22"/>
      <c r="C161" s="134" t="s">
        <v>248</v>
      </c>
      <c r="D161" s="134" t="s">
        <v>145</v>
      </c>
      <c r="E161" s="135" t="s">
        <v>249</v>
      </c>
      <c r="F161" s="217" t="s">
        <v>250</v>
      </c>
      <c r="G161" s="218"/>
      <c r="H161" s="218"/>
      <c r="I161" s="218"/>
      <c r="J161" s="136" t="s">
        <v>247</v>
      </c>
      <c r="K161" s="137">
        <v>2</v>
      </c>
      <c r="L161" s="219">
        <v>0</v>
      </c>
      <c r="M161" s="218"/>
      <c r="N161" s="220">
        <f>ROUND($L$161*$K$161,2)</f>
        <v>0</v>
      </c>
      <c r="O161" s="218"/>
      <c r="P161" s="218"/>
      <c r="Q161" s="218"/>
      <c r="R161" s="24"/>
      <c r="T161" s="138"/>
      <c r="U161" s="30" t="s">
        <v>38</v>
      </c>
      <c r="V161" s="139">
        <v>0.95</v>
      </c>
      <c r="W161" s="139">
        <f>$V$161*$K$161</f>
        <v>1.9</v>
      </c>
      <c r="X161" s="139">
        <v>0.01479</v>
      </c>
      <c r="Y161" s="139">
        <f>$X$161*$K$161</f>
        <v>0.02958</v>
      </c>
      <c r="Z161" s="139">
        <v>0</v>
      </c>
      <c r="AA161" s="140">
        <f>$Z$161*$K$161</f>
        <v>0</v>
      </c>
      <c r="AR161" s="6" t="s">
        <v>149</v>
      </c>
      <c r="AT161" s="6" t="s">
        <v>145</v>
      </c>
      <c r="AU161" s="6" t="s">
        <v>103</v>
      </c>
      <c r="AY161" s="6" t="s">
        <v>144</v>
      </c>
      <c r="BE161" s="88">
        <f>IF($U$161="základní",$N$161,0)</f>
        <v>0</v>
      </c>
      <c r="BF161" s="88">
        <f>IF($U$161="snížená",$N$161,0)</f>
        <v>0</v>
      </c>
      <c r="BG161" s="88">
        <f>IF($U$161="zákl. přenesená",$N$161,0)</f>
        <v>0</v>
      </c>
      <c r="BH161" s="88">
        <f>IF($U$161="sníž. přenesená",$N$161,0)</f>
        <v>0</v>
      </c>
      <c r="BI161" s="88">
        <f>IF($U$161="nulová",$N$161,0)</f>
        <v>0</v>
      </c>
      <c r="BJ161" s="6" t="s">
        <v>17</v>
      </c>
      <c r="BK161" s="88">
        <f>ROUND($L$161*$K$161,2)</f>
        <v>0</v>
      </c>
      <c r="BL161" s="6" t="s">
        <v>149</v>
      </c>
    </row>
    <row r="162" spans="2:64" s="6" customFormat="1" ht="27" customHeight="1">
      <c r="B162" s="22"/>
      <c r="C162" s="134" t="s">
        <v>251</v>
      </c>
      <c r="D162" s="134" t="s">
        <v>145</v>
      </c>
      <c r="E162" s="135" t="s">
        <v>252</v>
      </c>
      <c r="F162" s="217" t="s">
        <v>253</v>
      </c>
      <c r="G162" s="218"/>
      <c r="H162" s="218"/>
      <c r="I162" s="218"/>
      <c r="J162" s="136" t="s">
        <v>247</v>
      </c>
      <c r="K162" s="137">
        <v>1</v>
      </c>
      <c r="L162" s="219">
        <v>0</v>
      </c>
      <c r="M162" s="218"/>
      <c r="N162" s="220">
        <f>ROUND($L$162*$K$162,2)</f>
        <v>0</v>
      </c>
      <c r="O162" s="218"/>
      <c r="P162" s="218"/>
      <c r="Q162" s="218"/>
      <c r="R162" s="24"/>
      <c r="T162" s="138"/>
      <c r="U162" s="30" t="s">
        <v>38</v>
      </c>
      <c r="V162" s="139">
        <v>0.95</v>
      </c>
      <c r="W162" s="139">
        <f>$V$162*$K$162</f>
        <v>0.95</v>
      </c>
      <c r="X162" s="139">
        <v>0.01568</v>
      </c>
      <c r="Y162" s="139">
        <f>$X$162*$K$162</f>
        <v>0.01568</v>
      </c>
      <c r="Z162" s="139">
        <v>0</v>
      </c>
      <c r="AA162" s="140">
        <f>$Z$162*$K$162</f>
        <v>0</v>
      </c>
      <c r="AR162" s="6" t="s">
        <v>149</v>
      </c>
      <c r="AT162" s="6" t="s">
        <v>145</v>
      </c>
      <c r="AU162" s="6" t="s">
        <v>103</v>
      </c>
      <c r="AY162" s="6" t="s">
        <v>144</v>
      </c>
      <c r="BE162" s="88">
        <f>IF($U$162="základní",$N$162,0)</f>
        <v>0</v>
      </c>
      <c r="BF162" s="88">
        <f>IF($U$162="snížená",$N$162,0)</f>
        <v>0</v>
      </c>
      <c r="BG162" s="88">
        <f>IF($U$162="zákl. přenesená",$N$162,0)</f>
        <v>0</v>
      </c>
      <c r="BH162" s="88">
        <f>IF($U$162="sníž. přenesená",$N$162,0)</f>
        <v>0</v>
      </c>
      <c r="BI162" s="88">
        <f>IF($U$162="nulová",$N$162,0)</f>
        <v>0</v>
      </c>
      <c r="BJ162" s="6" t="s">
        <v>17</v>
      </c>
      <c r="BK162" s="88">
        <f>ROUND($L$162*$K$162,2)</f>
        <v>0</v>
      </c>
      <c r="BL162" s="6" t="s">
        <v>149</v>
      </c>
    </row>
    <row r="163" spans="2:64" s="6" customFormat="1" ht="27" customHeight="1">
      <c r="B163" s="22"/>
      <c r="C163" s="134" t="s">
        <v>254</v>
      </c>
      <c r="D163" s="134" t="s">
        <v>145</v>
      </c>
      <c r="E163" s="135" t="s">
        <v>255</v>
      </c>
      <c r="F163" s="217" t="s">
        <v>256</v>
      </c>
      <c r="G163" s="218"/>
      <c r="H163" s="218"/>
      <c r="I163" s="218"/>
      <c r="J163" s="136" t="s">
        <v>247</v>
      </c>
      <c r="K163" s="137">
        <v>1</v>
      </c>
      <c r="L163" s="219">
        <v>0</v>
      </c>
      <c r="M163" s="218"/>
      <c r="N163" s="220">
        <f>ROUND($L$163*$K$163,2)</f>
        <v>0</v>
      </c>
      <c r="O163" s="218"/>
      <c r="P163" s="218"/>
      <c r="Q163" s="218"/>
      <c r="R163" s="24"/>
      <c r="T163" s="138"/>
      <c r="U163" s="30" t="s">
        <v>38</v>
      </c>
      <c r="V163" s="139">
        <v>0.403</v>
      </c>
      <c r="W163" s="139">
        <f>$V$163*$K$163</f>
        <v>0.403</v>
      </c>
      <c r="X163" s="139">
        <v>0</v>
      </c>
      <c r="Y163" s="139">
        <f>$X$163*$K$163</f>
        <v>0</v>
      </c>
      <c r="Z163" s="139">
        <v>0.0172</v>
      </c>
      <c r="AA163" s="140">
        <f>$Z$163*$K$163</f>
        <v>0.0172</v>
      </c>
      <c r="AR163" s="6" t="s">
        <v>149</v>
      </c>
      <c r="AT163" s="6" t="s">
        <v>145</v>
      </c>
      <c r="AU163" s="6" t="s">
        <v>103</v>
      </c>
      <c r="AY163" s="6" t="s">
        <v>144</v>
      </c>
      <c r="BE163" s="88">
        <f>IF($U$163="základní",$N$163,0)</f>
        <v>0</v>
      </c>
      <c r="BF163" s="88">
        <f>IF($U$163="snížená",$N$163,0)</f>
        <v>0</v>
      </c>
      <c r="BG163" s="88">
        <f>IF($U$163="zákl. přenesená",$N$163,0)</f>
        <v>0</v>
      </c>
      <c r="BH163" s="88">
        <f>IF($U$163="sníž. přenesená",$N$163,0)</f>
        <v>0</v>
      </c>
      <c r="BI163" s="88">
        <f>IF($U$163="nulová",$N$163,0)</f>
        <v>0</v>
      </c>
      <c r="BJ163" s="6" t="s">
        <v>17</v>
      </c>
      <c r="BK163" s="88">
        <f>ROUND($L$163*$K$163,2)</f>
        <v>0</v>
      </c>
      <c r="BL163" s="6" t="s">
        <v>149</v>
      </c>
    </row>
    <row r="164" spans="2:64" s="6" customFormat="1" ht="15.75" customHeight="1">
      <c r="B164" s="22"/>
      <c r="C164" s="134" t="s">
        <v>257</v>
      </c>
      <c r="D164" s="134" t="s">
        <v>145</v>
      </c>
      <c r="E164" s="135" t="s">
        <v>258</v>
      </c>
      <c r="F164" s="217" t="s">
        <v>259</v>
      </c>
      <c r="G164" s="218"/>
      <c r="H164" s="218"/>
      <c r="I164" s="218"/>
      <c r="J164" s="136" t="s">
        <v>247</v>
      </c>
      <c r="K164" s="137">
        <v>11</v>
      </c>
      <c r="L164" s="219">
        <v>0</v>
      </c>
      <c r="M164" s="218"/>
      <c r="N164" s="220">
        <f>ROUND($L$164*$K$164,2)</f>
        <v>0</v>
      </c>
      <c r="O164" s="218"/>
      <c r="P164" s="218"/>
      <c r="Q164" s="218"/>
      <c r="R164" s="24"/>
      <c r="T164" s="138"/>
      <c r="U164" s="30" t="s">
        <v>38</v>
      </c>
      <c r="V164" s="139">
        <v>0.362</v>
      </c>
      <c r="W164" s="139">
        <f>$V$164*$K$164</f>
        <v>3.9819999999999998</v>
      </c>
      <c r="X164" s="139">
        <v>0</v>
      </c>
      <c r="Y164" s="139">
        <f>$X$164*$K$164</f>
        <v>0</v>
      </c>
      <c r="Z164" s="139">
        <v>0.01946</v>
      </c>
      <c r="AA164" s="140">
        <f>$Z$164*$K$164</f>
        <v>0.21406000000000003</v>
      </c>
      <c r="AR164" s="6" t="s">
        <v>149</v>
      </c>
      <c r="AT164" s="6" t="s">
        <v>145</v>
      </c>
      <c r="AU164" s="6" t="s">
        <v>103</v>
      </c>
      <c r="AY164" s="6" t="s">
        <v>144</v>
      </c>
      <c r="BE164" s="88">
        <f>IF($U$164="základní",$N$164,0)</f>
        <v>0</v>
      </c>
      <c r="BF164" s="88">
        <f>IF($U$164="snížená",$N$164,0)</f>
        <v>0</v>
      </c>
      <c r="BG164" s="88">
        <f>IF($U$164="zákl. přenesená",$N$164,0)</f>
        <v>0</v>
      </c>
      <c r="BH164" s="88">
        <f>IF($U$164="sníž. přenesená",$N$164,0)</f>
        <v>0</v>
      </c>
      <c r="BI164" s="88">
        <f>IF($U$164="nulová",$N$164,0)</f>
        <v>0</v>
      </c>
      <c r="BJ164" s="6" t="s">
        <v>17</v>
      </c>
      <c r="BK164" s="88">
        <f>ROUND($L$164*$K$164,2)</f>
        <v>0</v>
      </c>
      <c r="BL164" s="6" t="s">
        <v>149</v>
      </c>
    </row>
    <row r="165" spans="2:64" s="6" customFormat="1" ht="27" customHeight="1">
      <c r="B165" s="22"/>
      <c r="C165" s="134" t="s">
        <v>260</v>
      </c>
      <c r="D165" s="134" t="s">
        <v>145</v>
      </c>
      <c r="E165" s="135" t="s">
        <v>261</v>
      </c>
      <c r="F165" s="217" t="s">
        <v>262</v>
      </c>
      <c r="G165" s="218"/>
      <c r="H165" s="218"/>
      <c r="I165" s="218"/>
      <c r="J165" s="136" t="s">
        <v>247</v>
      </c>
      <c r="K165" s="137">
        <v>14</v>
      </c>
      <c r="L165" s="219">
        <v>0</v>
      </c>
      <c r="M165" s="218"/>
      <c r="N165" s="220">
        <f>ROUND($L$165*$K$165,2)</f>
        <v>0</v>
      </c>
      <c r="O165" s="218"/>
      <c r="P165" s="218"/>
      <c r="Q165" s="218"/>
      <c r="R165" s="24"/>
      <c r="T165" s="138"/>
      <c r="U165" s="30" t="s">
        <v>38</v>
      </c>
      <c r="V165" s="139">
        <v>1.1</v>
      </c>
      <c r="W165" s="139">
        <f>$V$165*$K$165</f>
        <v>15.400000000000002</v>
      </c>
      <c r="X165" s="139">
        <v>0.01558</v>
      </c>
      <c r="Y165" s="139">
        <f>$X$165*$K$165</f>
        <v>0.21812</v>
      </c>
      <c r="Z165" s="139">
        <v>0</v>
      </c>
      <c r="AA165" s="140">
        <f>$Z$165*$K$165</f>
        <v>0</v>
      </c>
      <c r="AR165" s="6" t="s">
        <v>149</v>
      </c>
      <c r="AT165" s="6" t="s">
        <v>145</v>
      </c>
      <c r="AU165" s="6" t="s">
        <v>103</v>
      </c>
      <c r="AY165" s="6" t="s">
        <v>144</v>
      </c>
      <c r="BE165" s="88">
        <f>IF($U$165="základní",$N$165,0)</f>
        <v>0</v>
      </c>
      <c r="BF165" s="88">
        <f>IF($U$165="snížená",$N$165,0)</f>
        <v>0</v>
      </c>
      <c r="BG165" s="88">
        <f>IF($U$165="zákl. přenesená",$N$165,0)</f>
        <v>0</v>
      </c>
      <c r="BH165" s="88">
        <f>IF($U$165="sníž. přenesená",$N$165,0)</f>
        <v>0</v>
      </c>
      <c r="BI165" s="88">
        <f>IF($U$165="nulová",$N$165,0)</f>
        <v>0</v>
      </c>
      <c r="BJ165" s="6" t="s">
        <v>17</v>
      </c>
      <c r="BK165" s="88">
        <f>ROUND($L$165*$K$165,2)</f>
        <v>0</v>
      </c>
      <c r="BL165" s="6" t="s">
        <v>149</v>
      </c>
    </row>
    <row r="166" spans="2:64" s="6" customFormat="1" ht="27" customHeight="1">
      <c r="B166" s="22"/>
      <c r="C166" s="134" t="s">
        <v>263</v>
      </c>
      <c r="D166" s="134" t="s">
        <v>145</v>
      </c>
      <c r="E166" s="135" t="s">
        <v>264</v>
      </c>
      <c r="F166" s="217" t="s">
        <v>265</v>
      </c>
      <c r="G166" s="218"/>
      <c r="H166" s="218"/>
      <c r="I166" s="218"/>
      <c r="J166" s="136" t="s">
        <v>247</v>
      </c>
      <c r="K166" s="137">
        <v>1</v>
      </c>
      <c r="L166" s="219">
        <v>0</v>
      </c>
      <c r="M166" s="218"/>
      <c r="N166" s="220">
        <f>ROUND($L$166*$K$166,2)</f>
        <v>0</v>
      </c>
      <c r="O166" s="218"/>
      <c r="P166" s="218"/>
      <c r="Q166" s="218"/>
      <c r="R166" s="24"/>
      <c r="T166" s="138"/>
      <c r="U166" s="30" t="s">
        <v>38</v>
      </c>
      <c r="V166" s="139">
        <v>0.383</v>
      </c>
      <c r="W166" s="139">
        <f>$V$166*$K$166</f>
        <v>0.383</v>
      </c>
      <c r="X166" s="139">
        <v>0</v>
      </c>
      <c r="Y166" s="139">
        <f>$X$166*$K$166</f>
        <v>0</v>
      </c>
      <c r="Z166" s="139">
        <v>0.0245</v>
      </c>
      <c r="AA166" s="140">
        <f>$Z$166*$K$166</f>
        <v>0.0245</v>
      </c>
      <c r="AR166" s="6" t="s">
        <v>149</v>
      </c>
      <c r="AT166" s="6" t="s">
        <v>145</v>
      </c>
      <c r="AU166" s="6" t="s">
        <v>103</v>
      </c>
      <c r="AY166" s="6" t="s">
        <v>144</v>
      </c>
      <c r="BE166" s="88">
        <f>IF($U$166="základní",$N$166,0)</f>
        <v>0</v>
      </c>
      <c r="BF166" s="88">
        <f>IF($U$166="snížená",$N$166,0)</f>
        <v>0</v>
      </c>
      <c r="BG166" s="88">
        <f>IF($U$166="zákl. přenesená",$N$166,0)</f>
        <v>0</v>
      </c>
      <c r="BH166" s="88">
        <f>IF($U$166="sníž. přenesená",$N$166,0)</f>
        <v>0</v>
      </c>
      <c r="BI166" s="88">
        <f>IF($U$166="nulová",$N$166,0)</f>
        <v>0</v>
      </c>
      <c r="BJ166" s="6" t="s">
        <v>17</v>
      </c>
      <c r="BK166" s="88">
        <f>ROUND($L$166*$K$166,2)</f>
        <v>0</v>
      </c>
      <c r="BL166" s="6" t="s">
        <v>149</v>
      </c>
    </row>
    <row r="167" spans="2:64" s="6" customFormat="1" ht="27" customHeight="1">
      <c r="B167" s="22"/>
      <c r="C167" s="134" t="s">
        <v>266</v>
      </c>
      <c r="D167" s="134" t="s">
        <v>145</v>
      </c>
      <c r="E167" s="135" t="s">
        <v>267</v>
      </c>
      <c r="F167" s="217" t="s">
        <v>268</v>
      </c>
      <c r="G167" s="218"/>
      <c r="H167" s="218"/>
      <c r="I167" s="218"/>
      <c r="J167" s="136" t="s">
        <v>247</v>
      </c>
      <c r="K167" s="137">
        <v>1</v>
      </c>
      <c r="L167" s="219">
        <v>0</v>
      </c>
      <c r="M167" s="218"/>
      <c r="N167" s="220">
        <f>ROUND($L$167*$K$167,2)</f>
        <v>0</v>
      </c>
      <c r="O167" s="218"/>
      <c r="P167" s="218"/>
      <c r="Q167" s="218"/>
      <c r="R167" s="24"/>
      <c r="T167" s="138"/>
      <c r="U167" s="30" t="s">
        <v>38</v>
      </c>
      <c r="V167" s="139">
        <v>2.54</v>
      </c>
      <c r="W167" s="139">
        <f>$V$167*$K$167</f>
        <v>2.54</v>
      </c>
      <c r="X167" s="139">
        <v>0.01388</v>
      </c>
      <c r="Y167" s="139">
        <f>$X$167*$K$167</f>
        <v>0.01388</v>
      </c>
      <c r="Z167" s="139">
        <v>0</v>
      </c>
      <c r="AA167" s="140">
        <f>$Z$167*$K$167</f>
        <v>0</v>
      </c>
      <c r="AR167" s="6" t="s">
        <v>149</v>
      </c>
      <c r="AT167" s="6" t="s">
        <v>145</v>
      </c>
      <c r="AU167" s="6" t="s">
        <v>103</v>
      </c>
      <c r="AY167" s="6" t="s">
        <v>144</v>
      </c>
      <c r="BE167" s="88">
        <f>IF($U$167="základní",$N$167,0)</f>
        <v>0</v>
      </c>
      <c r="BF167" s="88">
        <f>IF($U$167="snížená",$N$167,0)</f>
        <v>0</v>
      </c>
      <c r="BG167" s="88">
        <f>IF($U$167="zákl. přenesená",$N$167,0)</f>
        <v>0</v>
      </c>
      <c r="BH167" s="88">
        <f>IF($U$167="sníž. přenesená",$N$167,0)</f>
        <v>0</v>
      </c>
      <c r="BI167" s="88">
        <f>IF($U$167="nulová",$N$167,0)</f>
        <v>0</v>
      </c>
      <c r="BJ167" s="6" t="s">
        <v>17</v>
      </c>
      <c r="BK167" s="88">
        <f>ROUND($L$167*$K$167,2)</f>
        <v>0</v>
      </c>
      <c r="BL167" s="6" t="s">
        <v>149</v>
      </c>
    </row>
    <row r="168" spans="2:64" s="6" customFormat="1" ht="27" customHeight="1">
      <c r="B168" s="22"/>
      <c r="C168" s="134" t="s">
        <v>269</v>
      </c>
      <c r="D168" s="134" t="s">
        <v>145</v>
      </c>
      <c r="E168" s="135" t="s">
        <v>270</v>
      </c>
      <c r="F168" s="217" t="s">
        <v>271</v>
      </c>
      <c r="G168" s="218"/>
      <c r="H168" s="218"/>
      <c r="I168" s="218"/>
      <c r="J168" s="136" t="s">
        <v>247</v>
      </c>
      <c r="K168" s="137">
        <v>1</v>
      </c>
      <c r="L168" s="219">
        <v>0</v>
      </c>
      <c r="M168" s="218"/>
      <c r="N168" s="220">
        <f>ROUND($L$168*$K$168,2)</f>
        <v>0</v>
      </c>
      <c r="O168" s="218"/>
      <c r="P168" s="218"/>
      <c r="Q168" s="218"/>
      <c r="R168" s="24"/>
      <c r="T168" s="138"/>
      <c r="U168" s="30" t="s">
        <v>38</v>
      </c>
      <c r="V168" s="139">
        <v>0.393</v>
      </c>
      <c r="W168" s="139">
        <f>$V$168*$K$168</f>
        <v>0.393</v>
      </c>
      <c r="X168" s="139">
        <v>0</v>
      </c>
      <c r="Y168" s="139">
        <f>$X$168*$K$168</f>
        <v>0</v>
      </c>
      <c r="Z168" s="139">
        <v>0.0272</v>
      </c>
      <c r="AA168" s="140">
        <f>$Z$168*$K$168</f>
        <v>0.0272</v>
      </c>
      <c r="AR168" s="6" t="s">
        <v>149</v>
      </c>
      <c r="AT168" s="6" t="s">
        <v>145</v>
      </c>
      <c r="AU168" s="6" t="s">
        <v>103</v>
      </c>
      <c r="AY168" s="6" t="s">
        <v>144</v>
      </c>
      <c r="BE168" s="88">
        <f>IF($U$168="základní",$N$168,0)</f>
        <v>0</v>
      </c>
      <c r="BF168" s="88">
        <f>IF($U$168="snížená",$N$168,0)</f>
        <v>0</v>
      </c>
      <c r="BG168" s="88">
        <f>IF($U$168="zákl. přenesená",$N$168,0)</f>
        <v>0</v>
      </c>
      <c r="BH168" s="88">
        <f>IF($U$168="sníž. přenesená",$N$168,0)</f>
        <v>0</v>
      </c>
      <c r="BI168" s="88">
        <f>IF($U$168="nulová",$N$168,0)</f>
        <v>0</v>
      </c>
      <c r="BJ168" s="6" t="s">
        <v>17</v>
      </c>
      <c r="BK168" s="88">
        <f>ROUND($L$168*$K$168,2)</f>
        <v>0</v>
      </c>
      <c r="BL168" s="6" t="s">
        <v>149</v>
      </c>
    </row>
    <row r="169" spans="2:64" s="6" customFormat="1" ht="27" customHeight="1">
      <c r="B169" s="22"/>
      <c r="C169" s="134" t="s">
        <v>272</v>
      </c>
      <c r="D169" s="134" t="s">
        <v>145</v>
      </c>
      <c r="E169" s="135" t="s">
        <v>273</v>
      </c>
      <c r="F169" s="217" t="s">
        <v>274</v>
      </c>
      <c r="G169" s="218"/>
      <c r="H169" s="218"/>
      <c r="I169" s="218"/>
      <c r="J169" s="136" t="s">
        <v>185</v>
      </c>
      <c r="K169" s="137">
        <v>0.399</v>
      </c>
      <c r="L169" s="219">
        <v>0</v>
      </c>
      <c r="M169" s="218"/>
      <c r="N169" s="220">
        <f>ROUND($L$169*$K$169,2)</f>
        <v>0</v>
      </c>
      <c r="O169" s="218"/>
      <c r="P169" s="218"/>
      <c r="Q169" s="218"/>
      <c r="R169" s="24"/>
      <c r="T169" s="138"/>
      <c r="U169" s="30" t="s">
        <v>38</v>
      </c>
      <c r="V169" s="139">
        <v>3.169</v>
      </c>
      <c r="W169" s="139">
        <f>$V$169*$K$169</f>
        <v>1.264431</v>
      </c>
      <c r="X169" s="139">
        <v>0</v>
      </c>
      <c r="Y169" s="139">
        <f>$X$169*$K$169</f>
        <v>0</v>
      </c>
      <c r="Z169" s="139">
        <v>0</v>
      </c>
      <c r="AA169" s="140">
        <f>$Z$169*$K$169</f>
        <v>0</v>
      </c>
      <c r="AR169" s="6" t="s">
        <v>149</v>
      </c>
      <c r="AT169" s="6" t="s">
        <v>145</v>
      </c>
      <c r="AU169" s="6" t="s">
        <v>103</v>
      </c>
      <c r="AY169" s="6" t="s">
        <v>144</v>
      </c>
      <c r="BE169" s="88">
        <f>IF($U$169="základní",$N$169,0)</f>
        <v>0</v>
      </c>
      <c r="BF169" s="88">
        <f>IF($U$169="snížená",$N$169,0)</f>
        <v>0</v>
      </c>
      <c r="BG169" s="88">
        <f>IF($U$169="zákl. přenesená",$N$169,0)</f>
        <v>0</v>
      </c>
      <c r="BH169" s="88">
        <f>IF($U$169="sníž. přenesená",$N$169,0)</f>
        <v>0</v>
      </c>
      <c r="BI169" s="88">
        <f>IF($U$169="nulová",$N$169,0)</f>
        <v>0</v>
      </c>
      <c r="BJ169" s="6" t="s">
        <v>17</v>
      </c>
      <c r="BK169" s="88">
        <f>ROUND($L$169*$K$169,2)</f>
        <v>0</v>
      </c>
      <c r="BL169" s="6" t="s">
        <v>149</v>
      </c>
    </row>
    <row r="170" spans="2:64" s="6" customFormat="1" ht="27" customHeight="1">
      <c r="B170" s="22"/>
      <c r="C170" s="134" t="s">
        <v>275</v>
      </c>
      <c r="D170" s="134" t="s">
        <v>145</v>
      </c>
      <c r="E170" s="135" t="s">
        <v>276</v>
      </c>
      <c r="F170" s="217" t="s">
        <v>277</v>
      </c>
      <c r="G170" s="218"/>
      <c r="H170" s="218"/>
      <c r="I170" s="218"/>
      <c r="J170" s="136" t="s">
        <v>247</v>
      </c>
      <c r="K170" s="137">
        <v>31</v>
      </c>
      <c r="L170" s="219">
        <v>0</v>
      </c>
      <c r="M170" s="218"/>
      <c r="N170" s="220">
        <f>ROUND($L$170*$K$170,2)</f>
        <v>0</v>
      </c>
      <c r="O170" s="218"/>
      <c r="P170" s="218"/>
      <c r="Q170" s="218"/>
      <c r="R170" s="24"/>
      <c r="T170" s="138"/>
      <c r="U170" s="30" t="s">
        <v>38</v>
      </c>
      <c r="V170" s="139">
        <v>0.227</v>
      </c>
      <c r="W170" s="139">
        <f>$V$170*$K$170</f>
        <v>7.037</v>
      </c>
      <c r="X170" s="139">
        <v>0.0003</v>
      </c>
      <c r="Y170" s="139">
        <f>$X$170*$K$170</f>
        <v>0.0093</v>
      </c>
      <c r="Z170" s="139">
        <v>0</v>
      </c>
      <c r="AA170" s="140">
        <f>$Z$170*$K$170</f>
        <v>0</v>
      </c>
      <c r="AR170" s="6" t="s">
        <v>149</v>
      </c>
      <c r="AT170" s="6" t="s">
        <v>145</v>
      </c>
      <c r="AU170" s="6" t="s">
        <v>103</v>
      </c>
      <c r="AY170" s="6" t="s">
        <v>144</v>
      </c>
      <c r="BE170" s="88">
        <f>IF($U$170="základní",$N$170,0)</f>
        <v>0</v>
      </c>
      <c r="BF170" s="88">
        <f>IF($U$170="snížená",$N$170,0)</f>
        <v>0</v>
      </c>
      <c r="BG170" s="88">
        <f>IF($U$170="zákl. přenesená",$N$170,0)</f>
        <v>0</v>
      </c>
      <c r="BH170" s="88">
        <f>IF($U$170="sníž. přenesená",$N$170,0)</f>
        <v>0</v>
      </c>
      <c r="BI170" s="88">
        <f>IF($U$170="nulová",$N$170,0)</f>
        <v>0</v>
      </c>
      <c r="BJ170" s="6" t="s">
        <v>17</v>
      </c>
      <c r="BK170" s="88">
        <f>ROUND($L$170*$K$170,2)</f>
        <v>0</v>
      </c>
      <c r="BL170" s="6" t="s">
        <v>149</v>
      </c>
    </row>
    <row r="171" spans="2:64" s="6" customFormat="1" ht="15.75" customHeight="1">
      <c r="B171" s="22"/>
      <c r="C171" s="134" t="s">
        <v>278</v>
      </c>
      <c r="D171" s="134" t="s">
        <v>145</v>
      </c>
      <c r="E171" s="135" t="s">
        <v>279</v>
      </c>
      <c r="F171" s="217" t="s">
        <v>280</v>
      </c>
      <c r="G171" s="218"/>
      <c r="H171" s="218"/>
      <c r="I171" s="218"/>
      <c r="J171" s="136" t="s">
        <v>247</v>
      </c>
      <c r="K171" s="137">
        <v>11</v>
      </c>
      <c r="L171" s="219">
        <v>0</v>
      </c>
      <c r="M171" s="218"/>
      <c r="N171" s="220">
        <f>ROUND($L$171*$K$171,2)</f>
        <v>0</v>
      </c>
      <c r="O171" s="218"/>
      <c r="P171" s="218"/>
      <c r="Q171" s="218"/>
      <c r="R171" s="24"/>
      <c r="T171" s="138"/>
      <c r="U171" s="30" t="s">
        <v>38</v>
      </c>
      <c r="V171" s="139">
        <v>0.217</v>
      </c>
      <c r="W171" s="139">
        <f>$V$171*$K$171</f>
        <v>2.387</v>
      </c>
      <c r="X171" s="139">
        <v>0</v>
      </c>
      <c r="Y171" s="139">
        <f>$X$171*$K$171</f>
        <v>0</v>
      </c>
      <c r="Z171" s="139">
        <v>0.00156</v>
      </c>
      <c r="AA171" s="140">
        <f>$Z$171*$K$171</f>
        <v>0.017159999999999998</v>
      </c>
      <c r="AR171" s="6" t="s">
        <v>149</v>
      </c>
      <c r="AT171" s="6" t="s">
        <v>145</v>
      </c>
      <c r="AU171" s="6" t="s">
        <v>103</v>
      </c>
      <c r="AY171" s="6" t="s">
        <v>144</v>
      </c>
      <c r="BE171" s="88">
        <f>IF($U$171="základní",$N$171,0)</f>
        <v>0</v>
      </c>
      <c r="BF171" s="88">
        <f>IF($U$171="snížená",$N$171,0)</f>
        <v>0</v>
      </c>
      <c r="BG171" s="88">
        <f>IF($U$171="zákl. přenesená",$N$171,0)</f>
        <v>0</v>
      </c>
      <c r="BH171" s="88">
        <f>IF($U$171="sníž. přenesená",$N$171,0)</f>
        <v>0</v>
      </c>
      <c r="BI171" s="88">
        <f>IF($U$171="nulová",$N$171,0)</f>
        <v>0</v>
      </c>
      <c r="BJ171" s="6" t="s">
        <v>17</v>
      </c>
      <c r="BK171" s="88">
        <f>ROUND($L$171*$K$171,2)</f>
        <v>0</v>
      </c>
      <c r="BL171" s="6" t="s">
        <v>149</v>
      </c>
    </row>
    <row r="172" spans="2:64" s="6" customFormat="1" ht="27" customHeight="1">
      <c r="B172" s="22"/>
      <c r="C172" s="134" t="s">
        <v>281</v>
      </c>
      <c r="D172" s="134" t="s">
        <v>145</v>
      </c>
      <c r="E172" s="135" t="s">
        <v>282</v>
      </c>
      <c r="F172" s="217" t="s">
        <v>283</v>
      </c>
      <c r="G172" s="218"/>
      <c r="H172" s="218"/>
      <c r="I172" s="218"/>
      <c r="J172" s="136" t="s">
        <v>247</v>
      </c>
      <c r="K172" s="137">
        <v>14</v>
      </c>
      <c r="L172" s="219">
        <v>0</v>
      </c>
      <c r="M172" s="218"/>
      <c r="N172" s="220">
        <f>ROUND($L$172*$K$172,2)</f>
        <v>0</v>
      </c>
      <c r="O172" s="218"/>
      <c r="P172" s="218"/>
      <c r="Q172" s="218"/>
      <c r="R172" s="24"/>
      <c r="T172" s="138"/>
      <c r="U172" s="30" t="s">
        <v>38</v>
      </c>
      <c r="V172" s="139">
        <v>0.2</v>
      </c>
      <c r="W172" s="139">
        <f>$V$172*$K$172</f>
        <v>2.8000000000000003</v>
      </c>
      <c r="X172" s="139">
        <v>0.0018</v>
      </c>
      <c r="Y172" s="139">
        <f>$X$172*$K$172</f>
        <v>0.0252</v>
      </c>
      <c r="Z172" s="139">
        <v>0</v>
      </c>
      <c r="AA172" s="140">
        <f>$Z$172*$K$172</f>
        <v>0</v>
      </c>
      <c r="AR172" s="6" t="s">
        <v>149</v>
      </c>
      <c r="AT172" s="6" t="s">
        <v>145</v>
      </c>
      <c r="AU172" s="6" t="s">
        <v>103</v>
      </c>
      <c r="AY172" s="6" t="s">
        <v>144</v>
      </c>
      <c r="BE172" s="88">
        <f>IF($U$172="základní",$N$172,0)</f>
        <v>0</v>
      </c>
      <c r="BF172" s="88">
        <f>IF($U$172="snížená",$N$172,0)</f>
        <v>0</v>
      </c>
      <c r="BG172" s="88">
        <f>IF($U$172="zákl. přenesená",$N$172,0)</f>
        <v>0</v>
      </c>
      <c r="BH172" s="88">
        <f>IF($U$172="sníž. přenesená",$N$172,0)</f>
        <v>0</v>
      </c>
      <c r="BI172" s="88">
        <f>IF($U$172="nulová",$N$172,0)</f>
        <v>0</v>
      </c>
      <c r="BJ172" s="6" t="s">
        <v>17</v>
      </c>
      <c r="BK172" s="88">
        <f>ROUND($L$172*$K$172,2)</f>
        <v>0</v>
      </c>
      <c r="BL172" s="6" t="s">
        <v>149</v>
      </c>
    </row>
    <row r="173" spans="2:64" s="6" customFormat="1" ht="27" customHeight="1">
      <c r="B173" s="22"/>
      <c r="C173" s="134" t="s">
        <v>284</v>
      </c>
      <c r="D173" s="134" t="s">
        <v>145</v>
      </c>
      <c r="E173" s="135" t="s">
        <v>285</v>
      </c>
      <c r="F173" s="217" t="s">
        <v>286</v>
      </c>
      <c r="G173" s="218"/>
      <c r="H173" s="218"/>
      <c r="I173" s="218"/>
      <c r="J173" s="136" t="s">
        <v>155</v>
      </c>
      <c r="K173" s="137">
        <v>1</v>
      </c>
      <c r="L173" s="219">
        <v>0</v>
      </c>
      <c r="M173" s="218"/>
      <c r="N173" s="220">
        <f>ROUND($L$173*$K$173,2)</f>
        <v>0</v>
      </c>
      <c r="O173" s="218"/>
      <c r="P173" s="218"/>
      <c r="Q173" s="218"/>
      <c r="R173" s="24"/>
      <c r="T173" s="138"/>
      <c r="U173" s="30" t="s">
        <v>38</v>
      </c>
      <c r="V173" s="139">
        <v>0.407</v>
      </c>
      <c r="W173" s="139">
        <f>$V$173*$K$173</f>
        <v>0.407</v>
      </c>
      <c r="X173" s="139">
        <v>0</v>
      </c>
      <c r="Y173" s="139">
        <f>$X$173*$K$173</f>
        <v>0</v>
      </c>
      <c r="Z173" s="139">
        <v>0.00225</v>
      </c>
      <c r="AA173" s="140">
        <f>$Z$173*$K$173</f>
        <v>0.00225</v>
      </c>
      <c r="AR173" s="6" t="s">
        <v>149</v>
      </c>
      <c r="AT173" s="6" t="s">
        <v>145</v>
      </c>
      <c r="AU173" s="6" t="s">
        <v>103</v>
      </c>
      <c r="AY173" s="6" t="s">
        <v>144</v>
      </c>
      <c r="BE173" s="88">
        <f>IF($U$173="základní",$N$173,0)</f>
        <v>0</v>
      </c>
      <c r="BF173" s="88">
        <f>IF($U$173="snížená",$N$173,0)</f>
        <v>0</v>
      </c>
      <c r="BG173" s="88">
        <f>IF($U$173="zákl. přenesená",$N$173,0)</f>
        <v>0</v>
      </c>
      <c r="BH173" s="88">
        <f>IF($U$173="sníž. přenesená",$N$173,0)</f>
        <v>0</v>
      </c>
      <c r="BI173" s="88">
        <f>IF($U$173="nulová",$N$173,0)</f>
        <v>0</v>
      </c>
      <c r="BJ173" s="6" t="s">
        <v>17</v>
      </c>
      <c r="BK173" s="88">
        <f>ROUND($L$173*$K$173,2)</f>
        <v>0</v>
      </c>
      <c r="BL173" s="6" t="s">
        <v>149</v>
      </c>
    </row>
    <row r="174" spans="2:64" s="6" customFormat="1" ht="15.75" customHeight="1">
      <c r="B174" s="22"/>
      <c r="C174" s="134" t="s">
        <v>287</v>
      </c>
      <c r="D174" s="134" t="s">
        <v>145</v>
      </c>
      <c r="E174" s="135" t="s">
        <v>288</v>
      </c>
      <c r="F174" s="217" t="s">
        <v>289</v>
      </c>
      <c r="G174" s="218"/>
      <c r="H174" s="218"/>
      <c r="I174" s="218"/>
      <c r="J174" s="136" t="s">
        <v>247</v>
      </c>
      <c r="K174" s="137">
        <v>1</v>
      </c>
      <c r="L174" s="219">
        <v>0</v>
      </c>
      <c r="M174" s="218"/>
      <c r="N174" s="220">
        <f>ROUND($L$174*$K$174,2)</f>
        <v>0</v>
      </c>
      <c r="O174" s="218"/>
      <c r="P174" s="218"/>
      <c r="Q174" s="218"/>
      <c r="R174" s="24"/>
      <c r="T174" s="138"/>
      <c r="U174" s="30" t="s">
        <v>38</v>
      </c>
      <c r="V174" s="139">
        <v>0.2</v>
      </c>
      <c r="W174" s="139">
        <f>$V$174*$K$174</f>
        <v>0.2</v>
      </c>
      <c r="X174" s="139">
        <v>0.00184</v>
      </c>
      <c r="Y174" s="139">
        <f>$X$174*$K$174</f>
        <v>0.00184</v>
      </c>
      <c r="Z174" s="139">
        <v>0</v>
      </c>
      <c r="AA174" s="140">
        <f>$Z$174*$K$174</f>
        <v>0</v>
      </c>
      <c r="AR174" s="6" t="s">
        <v>149</v>
      </c>
      <c r="AT174" s="6" t="s">
        <v>145</v>
      </c>
      <c r="AU174" s="6" t="s">
        <v>103</v>
      </c>
      <c r="AY174" s="6" t="s">
        <v>144</v>
      </c>
      <c r="BE174" s="88">
        <f>IF($U$174="základní",$N$174,0)</f>
        <v>0</v>
      </c>
      <c r="BF174" s="88">
        <f>IF($U$174="snížená",$N$174,0)</f>
        <v>0</v>
      </c>
      <c r="BG174" s="88">
        <f>IF($U$174="zákl. přenesená",$N$174,0)</f>
        <v>0</v>
      </c>
      <c r="BH174" s="88">
        <f>IF($U$174="sníž. přenesená",$N$174,0)</f>
        <v>0</v>
      </c>
      <c r="BI174" s="88">
        <f>IF($U$174="nulová",$N$174,0)</f>
        <v>0</v>
      </c>
      <c r="BJ174" s="6" t="s">
        <v>17</v>
      </c>
      <c r="BK174" s="88">
        <f>ROUND($L$174*$K$174,2)</f>
        <v>0</v>
      </c>
      <c r="BL174" s="6" t="s">
        <v>149</v>
      </c>
    </row>
    <row r="175" spans="2:64" s="6" customFormat="1" ht="27" customHeight="1">
      <c r="B175" s="22"/>
      <c r="C175" s="134" t="s">
        <v>290</v>
      </c>
      <c r="D175" s="134" t="s">
        <v>145</v>
      </c>
      <c r="E175" s="135" t="s">
        <v>291</v>
      </c>
      <c r="F175" s="217" t="s">
        <v>292</v>
      </c>
      <c r="G175" s="218"/>
      <c r="H175" s="218"/>
      <c r="I175" s="218"/>
      <c r="J175" s="136" t="s">
        <v>185</v>
      </c>
      <c r="K175" s="137">
        <v>0.314</v>
      </c>
      <c r="L175" s="219">
        <v>0</v>
      </c>
      <c r="M175" s="218"/>
      <c r="N175" s="220">
        <f>ROUND($L$175*$K$175,2)</f>
        <v>0</v>
      </c>
      <c r="O175" s="218"/>
      <c r="P175" s="218"/>
      <c r="Q175" s="218"/>
      <c r="R175" s="24"/>
      <c r="T175" s="138"/>
      <c r="U175" s="30" t="s">
        <v>38</v>
      </c>
      <c r="V175" s="139">
        <v>1.517</v>
      </c>
      <c r="W175" s="139">
        <f>$V$175*$K$175</f>
        <v>0.476338</v>
      </c>
      <c r="X175" s="139">
        <v>0</v>
      </c>
      <c r="Y175" s="139">
        <f>$X$175*$K$175</f>
        <v>0</v>
      </c>
      <c r="Z175" s="139">
        <v>0</v>
      </c>
      <c r="AA175" s="140">
        <f>$Z$175*$K$175</f>
        <v>0</v>
      </c>
      <c r="AR175" s="6" t="s">
        <v>149</v>
      </c>
      <c r="AT175" s="6" t="s">
        <v>145</v>
      </c>
      <c r="AU175" s="6" t="s">
        <v>103</v>
      </c>
      <c r="AY175" s="6" t="s">
        <v>144</v>
      </c>
      <c r="BE175" s="88">
        <f>IF($U$175="základní",$N$175,0)</f>
        <v>0</v>
      </c>
      <c r="BF175" s="88">
        <f>IF($U$175="snížená",$N$175,0)</f>
        <v>0</v>
      </c>
      <c r="BG175" s="88">
        <f>IF($U$175="zákl. přenesená",$N$175,0)</f>
        <v>0</v>
      </c>
      <c r="BH175" s="88">
        <f>IF($U$175="sníž. přenesená",$N$175,0)</f>
        <v>0</v>
      </c>
      <c r="BI175" s="88">
        <f>IF($U$175="nulová",$N$175,0)</f>
        <v>0</v>
      </c>
      <c r="BJ175" s="6" t="s">
        <v>17</v>
      </c>
      <c r="BK175" s="88">
        <f>ROUND($L$175*$K$175,2)</f>
        <v>0</v>
      </c>
      <c r="BL175" s="6" t="s">
        <v>149</v>
      </c>
    </row>
    <row r="176" spans="2:63" s="6" customFormat="1" ht="51" customHeight="1">
      <c r="B176" s="22"/>
      <c r="C176" s="23"/>
      <c r="D176" s="126" t="s">
        <v>293</v>
      </c>
      <c r="E176" s="23"/>
      <c r="F176" s="23"/>
      <c r="G176" s="23"/>
      <c r="H176" s="23"/>
      <c r="I176" s="23"/>
      <c r="J176" s="23"/>
      <c r="K176" s="23"/>
      <c r="L176" s="23"/>
      <c r="M176" s="23"/>
      <c r="N176" s="213">
        <f>$BK$176</f>
        <v>0</v>
      </c>
      <c r="O176" s="183"/>
      <c r="P176" s="183"/>
      <c r="Q176" s="183"/>
      <c r="R176" s="24"/>
      <c r="T176" s="59"/>
      <c r="U176" s="23"/>
      <c r="V176" s="23"/>
      <c r="W176" s="23"/>
      <c r="X176" s="23"/>
      <c r="Y176" s="23"/>
      <c r="Z176" s="23"/>
      <c r="AA176" s="60"/>
      <c r="AT176" s="6" t="s">
        <v>72</v>
      </c>
      <c r="AU176" s="6" t="s">
        <v>73</v>
      </c>
      <c r="AY176" s="6" t="s">
        <v>294</v>
      </c>
      <c r="BK176" s="88">
        <f>SUM($BK$177:$BK$181)</f>
        <v>0</v>
      </c>
    </row>
    <row r="177" spans="2:63" s="6" customFormat="1" ht="23.25" customHeight="1">
      <c r="B177" s="22"/>
      <c r="C177" s="141"/>
      <c r="D177" s="141" t="s">
        <v>145</v>
      </c>
      <c r="E177" s="142"/>
      <c r="F177" s="221"/>
      <c r="G177" s="222"/>
      <c r="H177" s="222"/>
      <c r="I177" s="222"/>
      <c r="J177" s="143"/>
      <c r="K177" s="144"/>
      <c r="L177" s="219"/>
      <c r="M177" s="218"/>
      <c r="N177" s="220">
        <f>$BK$177</f>
        <v>0</v>
      </c>
      <c r="O177" s="218"/>
      <c r="P177" s="218"/>
      <c r="Q177" s="218"/>
      <c r="R177" s="24"/>
      <c r="T177" s="138"/>
      <c r="U177" s="145" t="s">
        <v>38</v>
      </c>
      <c r="V177" s="23"/>
      <c r="W177" s="23"/>
      <c r="X177" s="23"/>
      <c r="Y177" s="23"/>
      <c r="Z177" s="23"/>
      <c r="AA177" s="60"/>
      <c r="AT177" s="6" t="s">
        <v>294</v>
      </c>
      <c r="AU177" s="6" t="s">
        <v>17</v>
      </c>
      <c r="AY177" s="6" t="s">
        <v>294</v>
      </c>
      <c r="BE177" s="88">
        <f>IF($U$177="základní",$N$177,0)</f>
        <v>0</v>
      </c>
      <c r="BF177" s="88">
        <f>IF($U$177="snížená",$N$177,0)</f>
        <v>0</v>
      </c>
      <c r="BG177" s="88">
        <f>IF($U$177="zákl. přenesená",$N$177,0)</f>
        <v>0</v>
      </c>
      <c r="BH177" s="88">
        <f>IF($U$177="sníž. přenesená",$N$177,0)</f>
        <v>0</v>
      </c>
      <c r="BI177" s="88">
        <f>IF($U$177="nulová",$N$177,0)</f>
        <v>0</v>
      </c>
      <c r="BJ177" s="6" t="s">
        <v>17</v>
      </c>
      <c r="BK177" s="88">
        <f>$L$177*$K$177</f>
        <v>0</v>
      </c>
    </row>
    <row r="178" spans="2:63" s="6" customFormat="1" ht="23.25" customHeight="1">
      <c r="B178" s="22"/>
      <c r="C178" s="141"/>
      <c r="D178" s="141" t="s">
        <v>145</v>
      </c>
      <c r="E178" s="142"/>
      <c r="F178" s="221"/>
      <c r="G178" s="222"/>
      <c r="H178" s="222"/>
      <c r="I178" s="222"/>
      <c r="J178" s="143"/>
      <c r="K178" s="144"/>
      <c r="L178" s="219"/>
      <c r="M178" s="218"/>
      <c r="N178" s="220">
        <f>$BK$178</f>
        <v>0</v>
      </c>
      <c r="O178" s="218"/>
      <c r="P178" s="218"/>
      <c r="Q178" s="218"/>
      <c r="R178" s="24"/>
      <c r="T178" s="138"/>
      <c r="U178" s="145" t="s">
        <v>38</v>
      </c>
      <c r="V178" s="23"/>
      <c r="W178" s="23"/>
      <c r="X178" s="23"/>
      <c r="Y178" s="23"/>
      <c r="Z178" s="23"/>
      <c r="AA178" s="60"/>
      <c r="AT178" s="6" t="s">
        <v>294</v>
      </c>
      <c r="AU178" s="6" t="s">
        <v>17</v>
      </c>
      <c r="AY178" s="6" t="s">
        <v>294</v>
      </c>
      <c r="BE178" s="88">
        <f>IF($U$178="základní",$N$178,0)</f>
        <v>0</v>
      </c>
      <c r="BF178" s="88">
        <f>IF($U$178="snížená",$N$178,0)</f>
        <v>0</v>
      </c>
      <c r="BG178" s="88">
        <f>IF($U$178="zákl. přenesená",$N$178,0)</f>
        <v>0</v>
      </c>
      <c r="BH178" s="88">
        <f>IF($U$178="sníž. přenesená",$N$178,0)</f>
        <v>0</v>
      </c>
      <c r="BI178" s="88">
        <f>IF($U$178="nulová",$N$178,0)</f>
        <v>0</v>
      </c>
      <c r="BJ178" s="6" t="s">
        <v>17</v>
      </c>
      <c r="BK178" s="88">
        <f>$L$178*$K$178</f>
        <v>0</v>
      </c>
    </row>
    <row r="179" spans="2:63" s="6" customFormat="1" ht="23.25" customHeight="1">
      <c r="B179" s="22"/>
      <c r="C179" s="141"/>
      <c r="D179" s="141" t="s">
        <v>145</v>
      </c>
      <c r="E179" s="142"/>
      <c r="F179" s="221"/>
      <c r="G179" s="222"/>
      <c r="H179" s="222"/>
      <c r="I179" s="222"/>
      <c r="J179" s="143"/>
      <c r="K179" s="144"/>
      <c r="L179" s="219"/>
      <c r="M179" s="218"/>
      <c r="N179" s="220">
        <f>$BK$179</f>
        <v>0</v>
      </c>
      <c r="O179" s="218"/>
      <c r="P179" s="218"/>
      <c r="Q179" s="218"/>
      <c r="R179" s="24"/>
      <c r="T179" s="138"/>
      <c r="U179" s="145" t="s">
        <v>38</v>
      </c>
      <c r="V179" s="23"/>
      <c r="W179" s="23"/>
      <c r="X179" s="23"/>
      <c r="Y179" s="23"/>
      <c r="Z179" s="23"/>
      <c r="AA179" s="60"/>
      <c r="AT179" s="6" t="s">
        <v>294</v>
      </c>
      <c r="AU179" s="6" t="s">
        <v>17</v>
      </c>
      <c r="AY179" s="6" t="s">
        <v>294</v>
      </c>
      <c r="BE179" s="88">
        <f>IF($U$179="základní",$N$179,0)</f>
        <v>0</v>
      </c>
      <c r="BF179" s="88">
        <f>IF($U$179="snížená",$N$179,0)</f>
        <v>0</v>
      </c>
      <c r="BG179" s="88">
        <f>IF($U$179="zákl. přenesená",$N$179,0)</f>
        <v>0</v>
      </c>
      <c r="BH179" s="88">
        <f>IF($U$179="sníž. přenesená",$N$179,0)</f>
        <v>0</v>
      </c>
      <c r="BI179" s="88">
        <f>IF($U$179="nulová",$N$179,0)</f>
        <v>0</v>
      </c>
      <c r="BJ179" s="6" t="s">
        <v>17</v>
      </c>
      <c r="BK179" s="88">
        <f>$L$179*$K$179</f>
        <v>0</v>
      </c>
    </row>
    <row r="180" spans="2:63" s="6" customFormat="1" ht="23.25" customHeight="1">
      <c r="B180" s="22"/>
      <c r="C180" s="141"/>
      <c r="D180" s="141" t="s">
        <v>145</v>
      </c>
      <c r="E180" s="142"/>
      <c r="F180" s="221"/>
      <c r="G180" s="222"/>
      <c r="H180" s="222"/>
      <c r="I180" s="222"/>
      <c r="J180" s="143"/>
      <c r="K180" s="144"/>
      <c r="L180" s="219"/>
      <c r="M180" s="218"/>
      <c r="N180" s="220">
        <f>$BK$180</f>
        <v>0</v>
      </c>
      <c r="O180" s="218"/>
      <c r="P180" s="218"/>
      <c r="Q180" s="218"/>
      <c r="R180" s="24"/>
      <c r="T180" s="138"/>
      <c r="U180" s="145" t="s">
        <v>38</v>
      </c>
      <c r="V180" s="23"/>
      <c r="W180" s="23"/>
      <c r="X180" s="23"/>
      <c r="Y180" s="23"/>
      <c r="Z180" s="23"/>
      <c r="AA180" s="60"/>
      <c r="AT180" s="6" t="s">
        <v>294</v>
      </c>
      <c r="AU180" s="6" t="s">
        <v>17</v>
      </c>
      <c r="AY180" s="6" t="s">
        <v>294</v>
      </c>
      <c r="BE180" s="88">
        <f>IF($U$180="základní",$N$180,0)</f>
        <v>0</v>
      </c>
      <c r="BF180" s="88">
        <f>IF($U$180="snížená",$N$180,0)</f>
        <v>0</v>
      </c>
      <c r="BG180" s="88">
        <f>IF($U$180="zákl. přenesená",$N$180,0)</f>
        <v>0</v>
      </c>
      <c r="BH180" s="88">
        <f>IF($U$180="sníž. přenesená",$N$180,0)</f>
        <v>0</v>
      </c>
      <c r="BI180" s="88">
        <f>IF($U$180="nulová",$N$180,0)</f>
        <v>0</v>
      </c>
      <c r="BJ180" s="6" t="s">
        <v>17</v>
      </c>
      <c r="BK180" s="88">
        <f>$L$180*$K$180</f>
        <v>0</v>
      </c>
    </row>
    <row r="181" spans="2:63" s="6" customFormat="1" ht="23.25" customHeight="1">
      <c r="B181" s="22"/>
      <c r="C181" s="141"/>
      <c r="D181" s="141" t="s">
        <v>145</v>
      </c>
      <c r="E181" s="142"/>
      <c r="F181" s="221"/>
      <c r="G181" s="222"/>
      <c r="H181" s="222"/>
      <c r="I181" s="222"/>
      <c r="J181" s="143"/>
      <c r="K181" s="144"/>
      <c r="L181" s="219"/>
      <c r="M181" s="218"/>
      <c r="N181" s="220">
        <f>$BK$181</f>
        <v>0</v>
      </c>
      <c r="O181" s="218"/>
      <c r="P181" s="218"/>
      <c r="Q181" s="218"/>
      <c r="R181" s="24"/>
      <c r="T181" s="138"/>
      <c r="U181" s="145" t="s">
        <v>38</v>
      </c>
      <c r="V181" s="42"/>
      <c r="W181" s="42"/>
      <c r="X181" s="42"/>
      <c r="Y181" s="42"/>
      <c r="Z181" s="42"/>
      <c r="AA181" s="44"/>
      <c r="AT181" s="6" t="s">
        <v>294</v>
      </c>
      <c r="AU181" s="6" t="s">
        <v>17</v>
      </c>
      <c r="AY181" s="6" t="s">
        <v>294</v>
      </c>
      <c r="BE181" s="88">
        <f>IF($U$181="základní",$N$181,0)</f>
        <v>0</v>
      </c>
      <c r="BF181" s="88">
        <f>IF($U$181="snížená",$N$181,0)</f>
        <v>0</v>
      </c>
      <c r="BG181" s="88">
        <f>IF($U$181="zákl. přenesená",$N$181,0)</f>
        <v>0</v>
      </c>
      <c r="BH181" s="88">
        <f>IF($U$181="sníž. přenesená",$N$181,0)</f>
        <v>0</v>
      </c>
      <c r="BI181" s="88">
        <f>IF($U$181="nulová",$N$181,0)</f>
        <v>0</v>
      </c>
      <c r="BJ181" s="6" t="s">
        <v>17</v>
      </c>
      <c r="BK181" s="88">
        <f>$L$181*$K$181</f>
        <v>0</v>
      </c>
    </row>
    <row r="182" spans="2:18" s="6" customFormat="1" ht="7.5" customHeight="1">
      <c r="B182" s="45"/>
      <c r="C182" s="46"/>
      <c r="D182" s="46"/>
      <c r="E182" s="46"/>
      <c r="F182" s="46"/>
      <c r="G182" s="46"/>
      <c r="H182" s="46"/>
      <c r="I182" s="46"/>
      <c r="J182" s="46"/>
      <c r="K182" s="46"/>
      <c r="L182" s="46"/>
      <c r="M182" s="46"/>
      <c r="N182" s="46"/>
      <c r="O182" s="46"/>
      <c r="P182" s="46"/>
      <c r="Q182" s="46"/>
      <c r="R182" s="47"/>
    </row>
    <row r="183" s="2" customFormat="1" ht="14.25" customHeight="1"/>
  </sheetData>
  <sheetProtection password="CC35" sheet="1" objects="1" scenarios="1" formatColumns="0" formatRows="0" sort="0" autoFilter="0"/>
  <mergeCells count="236">
    <mergeCell ref="H1:K1"/>
    <mergeCell ref="S2:AC2"/>
    <mergeCell ref="F181:I181"/>
    <mergeCell ref="L181:M181"/>
    <mergeCell ref="N181:Q181"/>
    <mergeCell ref="N121:Q121"/>
    <mergeCell ref="N122:Q122"/>
    <mergeCell ref="N123:Q123"/>
    <mergeCell ref="N140:Q140"/>
    <mergeCell ref="N158:Q158"/>
    <mergeCell ref="N159:Q159"/>
    <mergeCell ref="N176:Q176"/>
    <mergeCell ref="F179:I179"/>
    <mergeCell ref="L179:M179"/>
    <mergeCell ref="N179:Q179"/>
    <mergeCell ref="F180:I180"/>
    <mergeCell ref="L180:M180"/>
    <mergeCell ref="N180:Q180"/>
    <mergeCell ref="F177:I177"/>
    <mergeCell ref="L177:M177"/>
    <mergeCell ref="N177:Q177"/>
    <mergeCell ref="F178:I178"/>
    <mergeCell ref="L178:M178"/>
    <mergeCell ref="N178:Q178"/>
    <mergeCell ref="F174:I174"/>
    <mergeCell ref="L174:M174"/>
    <mergeCell ref="N174:Q174"/>
    <mergeCell ref="F175:I175"/>
    <mergeCell ref="L175:M175"/>
    <mergeCell ref="N175:Q175"/>
    <mergeCell ref="F172:I172"/>
    <mergeCell ref="L172:M172"/>
    <mergeCell ref="N172:Q172"/>
    <mergeCell ref="F173:I173"/>
    <mergeCell ref="L173:M173"/>
    <mergeCell ref="N173:Q173"/>
    <mergeCell ref="F170:I170"/>
    <mergeCell ref="L170:M170"/>
    <mergeCell ref="N170:Q170"/>
    <mergeCell ref="F171:I171"/>
    <mergeCell ref="L171:M171"/>
    <mergeCell ref="N171:Q171"/>
    <mergeCell ref="F168:I168"/>
    <mergeCell ref="L168:M168"/>
    <mergeCell ref="N168:Q168"/>
    <mergeCell ref="F169:I169"/>
    <mergeCell ref="L169:M169"/>
    <mergeCell ref="N169:Q169"/>
    <mergeCell ref="F166:I166"/>
    <mergeCell ref="L166:M166"/>
    <mergeCell ref="N166:Q166"/>
    <mergeCell ref="F167:I167"/>
    <mergeCell ref="L167:M167"/>
    <mergeCell ref="N167:Q167"/>
    <mergeCell ref="F164:I164"/>
    <mergeCell ref="L164:M164"/>
    <mergeCell ref="N164:Q164"/>
    <mergeCell ref="F165:I165"/>
    <mergeCell ref="L165:M165"/>
    <mergeCell ref="N165:Q165"/>
    <mergeCell ref="F162:I162"/>
    <mergeCell ref="L162:M162"/>
    <mergeCell ref="N162:Q162"/>
    <mergeCell ref="F163:I163"/>
    <mergeCell ref="L163:M163"/>
    <mergeCell ref="N163:Q163"/>
    <mergeCell ref="F160:I160"/>
    <mergeCell ref="L160:M160"/>
    <mergeCell ref="N160:Q160"/>
    <mergeCell ref="F161:I161"/>
    <mergeCell ref="L161:M161"/>
    <mergeCell ref="N161:Q161"/>
    <mergeCell ref="F156:I156"/>
    <mergeCell ref="L156:M156"/>
    <mergeCell ref="N156:Q156"/>
    <mergeCell ref="F157:I157"/>
    <mergeCell ref="L157:M157"/>
    <mergeCell ref="N157:Q157"/>
    <mergeCell ref="F154:I154"/>
    <mergeCell ref="L154:M154"/>
    <mergeCell ref="N154:Q154"/>
    <mergeCell ref="F155:I155"/>
    <mergeCell ref="L155:M155"/>
    <mergeCell ref="N155:Q155"/>
    <mergeCell ref="F152:I152"/>
    <mergeCell ref="L152:M152"/>
    <mergeCell ref="N152:Q152"/>
    <mergeCell ref="F153:I153"/>
    <mergeCell ref="L153:M153"/>
    <mergeCell ref="N153:Q153"/>
    <mergeCell ref="F150:I150"/>
    <mergeCell ref="L150:M150"/>
    <mergeCell ref="N150:Q150"/>
    <mergeCell ref="F151:I151"/>
    <mergeCell ref="L151:M151"/>
    <mergeCell ref="N151:Q151"/>
    <mergeCell ref="F148:I148"/>
    <mergeCell ref="L148:M148"/>
    <mergeCell ref="N148:Q148"/>
    <mergeCell ref="F149:I149"/>
    <mergeCell ref="L149:M149"/>
    <mergeCell ref="N149:Q149"/>
    <mergeCell ref="F146:I146"/>
    <mergeCell ref="L146:M146"/>
    <mergeCell ref="N146:Q146"/>
    <mergeCell ref="F147:I147"/>
    <mergeCell ref="L147:M147"/>
    <mergeCell ref="N147:Q147"/>
    <mergeCell ref="F144:I144"/>
    <mergeCell ref="L144:M144"/>
    <mergeCell ref="N144:Q144"/>
    <mergeCell ref="F145:I145"/>
    <mergeCell ref="L145:M145"/>
    <mergeCell ref="N145:Q145"/>
    <mergeCell ref="F142:I142"/>
    <mergeCell ref="L142:M142"/>
    <mergeCell ref="N142:Q142"/>
    <mergeCell ref="F143:I143"/>
    <mergeCell ref="L143:M143"/>
    <mergeCell ref="N143:Q143"/>
    <mergeCell ref="F139:I139"/>
    <mergeCell ref="L139:M139"/>
    <mergeCell ref="N139:Q139"/>
    <mergeCell ref="F141:I141"/>
    <mergeCell ref="L141:M141"/>
    <mergeCell ref="N141:Q141"/>
    <mergeCell ref="F137:I137"/>
    <mergeCell ref="L137:M137"/>
    <mergeCell ref="N137:Q137"/>
    <mergeCell ref="F138:I138"/>
    <mergeCell ref="L138:M138"/>
    <mergeCell ref="N138:Q138"/>
    <mergeCell ref="F135:I135"/>
    <mergeCell ref="L135:M135"/>
    <mergeCell ref="N135:Q135"/>
    <mergeCell ref="F136:I136"/>
    <mergeCell ref="L136:M136"/>
    <mergeCell ref="N136:Q136"/>
    <mergeCell ref="F133:I133"/>
    <mergeCell ref="L133:M133"/>
    <mergeCell ref="N133:Q133"/>
    <mergeCell ref="F134:I134"/>
    <mergeCell ref="L134:M134"/>
    <mergeCell ref="N134:Q134"/>
    <mergeCell ref="F131:I131"/>
    <mergeCell ref="L131:M131"/>
    <mergeCell ref="N131:Q131"/>
    <mergeCell ref="F132:I132"/>
    <mergeCell ref="L132:M132"/>
    <mergeCell ref="N132:Q132"/>
    <mergeCell ref="F129:I129"/>
    <mergeCell ref="L129:M129"/>
    <mergeCell ref="N129:Q129"/>
    <mergeCell ref="F130:I130"/>
    <mergeCell ref="L130:M130"/>
    <mergeCell ref="N130:Q130"/>
    <mergeCell ref="F127:I127"/>
    <mergeCell ref="L127:M127"/>
    <mergeCell ref="N127:Q127"/>
    <mergeCell ref="F128:I128"/>
    <mergeCell ref="L128:M128"/>
    <mergeCell ref="N128:Q128"/>
    <mergeCell ref="F125:I125"/>
    <mergeCell ref="L125:M125"/>
    <mergeCell ref="N125:Q125"/>
    <mergeCell ref="F126:I126"/>
    <mergeCell ref="L126:M126"/>
    <mergeCell ref="N126:Q126"/>
    <mergeCell ref="F120:I120"/>
    <mergeCell ref="L120:M120"/>
    <mergeCell ref="N120:Q120"/>
    <mergeCell ref="F124:I124"/>
    <mergeCell ref="L124:M124"/>
    <mergeCell ref="N124:Q124"/>
    <mergeCell ref="C110:Q110"/>
    <mergeCell ref="F112:P112"/>
    <mergeCell ref="F113:P113"/>
    <mergeCell ref="M115:P115"/>
    <mergeCell ref="M117:Q117"/>
    <mergeCell ref="M118:Q118"/>
    <mergeCell ref="D100:H100"/>
    <mergeCell ref="N100:Q100"/>
    <mergeCell ref="D101:H101"/>
    <mergeCell ref="N101:Q101"/>
    <mergeCell ref="N102:Q102"/>
    <mergeCell ref="L104:Q104"/>
    <mergeCell ref="N96:Q96"/>
    <mergeCell ref="D97:H97"/>
    <mergeCell ref="N97:Q97"/>
    <mergeCell ref="D98:H98"/>
    <mergeCell ref="N98:Q98"/>
    <mergeCell ref="D99:H99"/>
    <mergeCell ref="N99:Q99"/>
    <mergeCell ref="N89:Q89"/>
    <mergeCell ref="N90:Q90"/>
    <mergeCell ref="N91:Q91"/>
    <mergeCell ref="N92:Q92"/>
    <mergeCell ref="N93:Q93"/>
    <mergeCell ref="N94:Q94"/>
    <mergeCell ref="M81:P81"/>
    <mergeCell ref="M83:Q83"/>
    <mergeCell ref="M84:Q84"/>
    <mergeCell ref="C86:G86"/>
    <mergeCell ref="N86:Q86"/>
    <mergeCell ref="N88:Q88"/>
    <mergeCell ref="H33:J33"/>
    <mergeCell ref="M33:P33"/>
    <mergeCell ref="L35:P35"/>
    <mergeCell ref="C76:Q76"/>
    <mergeCell ref="F78:P78"/>
    <mergeCell ref="F79:P79"/>
    <mergeCell ref="H30:J30"/>
    <mergeCell ref="M30:P30"/>
    <mergeCell ref="H31:J31"/>
    <mergeCell ref="M31:P31"/>
    <mergeCell ref="H32:J32"/>
    <mergeCell ref="M32:P32"/>
    <mergeCell ref="O20:P20"/>
    <mergeCell ref="O21:P21"/>
    <mergeCell ref="M24:P24"/>
    <mergeCell ref="M25:P25"/>
    <mergeCell ref="M27:P27"/>
    <mergeCell ref="H29:J29"/>
    <mergeCell ref="M29:P29"/>
    <mergeCell ref="O12:P12"/>
    <mergeCell ref="O14:P14"/>
    <mergeCell ref="E15:L15"/>
    <mergeCell ref="O15:P15"/>
    <mergeCell ref="O17:P17"/>
    <mergeCell ref="O18:P18"/>
    <mergeCell ref="C2:Q2"/>
    <mergeCell ref="C4:Q4"/>
    <mergeCell ref="F6:P6"/>
    <mergeCell ref="F7:P7"/>
    <mergeCell ref="O9:P9"/>
    <mergeCell ref="O11:P11"/>
  </mergeCells>
  <dataValidations count="2">
    <dataValidation type="list" allowBlank="1" showInputMessage="1" showErrorMessage="1" error="Povoleny jsou hodnoty K a M." sqref="D177:D182">
      <formula1>"K,M"</formula1>
    </dataValidation>
    <dataValidation type="list" allowBlank="1" showInputMessage="1" showErrorMessage="1" error="Povoleny jsou hodnoty základní, snížená, zákl. přenesená, sníž. přenesená, nulová." sqref="U177:U182">
      <formula1>"základní,snížená,zákl. přenesená,sníž. přenesená,nulová"</formula1>
    </dataValidation>
  </dataValidations>
  <hyperlinks>
    <hyperlink ref="F1:G1" location="C2" tooltip="Krycí list rozpočtu" display="1) Krycí list rozpočtu"/>
    <hyperlink ref="H1:K1" location="C86" tooltip="Rekapitulace rozpočtu" display="2) Rekapitulace rozpočtu"/>
    <hyperlink ref="L1" location="C120" tooltip="Rozpočet" display="3) Rozpočet"/>
    <hyperlink ref="S1:T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95" r:id="rId2"/>
  <headerFooter alignWithMargins="0"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86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.6679687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4" width="10.5" style="2" hidden="1" customWidth="1"/>
    <col min="65" max="16384" width="10.5" style="1" customWidth="1"/>
  </cols>
  <sheetData>
    <row r="1" spans="1:256" s="3" customFormat="1" ht="22.5" customHeight="1">
      <c r="A1" s="240"/>
      <c r="B1" s="237"/>
      <c r="C1" s="237"/>
      <c r="D1" s="238" t="s">
        <v>1</v>
      </c>
      <c r="E1" s="237"/>
      <c r="F1" s="239" t="s">
        <v>542</v>
      </c>
      <c r="G1" s="239"/>
      <c r="H1" s="241" t="s">
        <v>543</v>
      </c>
      <c r="I1" s="241"/>
      <c r="J1" s="241"/>
      <c r="K1" s="241"/>
      <c r="L1" s="239" t="s">
        <v>544</v>
      </c>
      <c r="M1" s="237"/>
      <c r="N1" s="237"/>
      <c r="O1" s="238" t="s">
        <v>102</v>
      </c>
      <c r="P1" s="237"/>
      <c r="Q1" s="237"/>
      <c r="R1" s="237"/>
      <c r="S1" s="239" t="s">
        <v>545</v>
      </c>
      <c r="T1" s="239"/>
      <c r="U1" s="240"/>
      <c r="V1" s="240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164" t="s">
        <v>4</v>
      </c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S2" s="202" t="s">
        <v>5</v>
      </c>
      <c r="T2" s="165"/>
      <c r="U2" s="165"/>
      <c r="V2" s="165"/>
      <c r="W2" s="165"/>
      <c r="X2" s="165"/>
      <c r="Y2" s="165"/>
      <c r="Z2" s="165"/>
      <c r="AA2" s="165"/>
      <c r="AB2" s="165"/>
      <c r="AC2" s="165"/>
      <c r="AT2" s="2" t="s">
        <v>83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103</v>
      </c>
    </row>
    <row r="4" spans="2:46" s="2" customFormat="1" ht="37.5" customHeight="1">
      <c r="B4" s="10"/>
      <c r="C4" s="166" t="s">
        <v>104</v>
      </c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2"/>
      <c r="T4" s="13" t="s">
        <v>10</v>
      </c>
      <c r="AT4" s="2" t="s">
        <v>3</v>
      </c>
    </row>
    <row r="5" spans="2:18" s="2" customFormat="1" ht="7.5" customHeight="1"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2"/>
    </row>
    <row r="6" spans="2:18" s="2" customFormat="1" ht="15.75" customHeight="1">
      <c r="B6" s="10"/>
      <c r="C6" s="11"/>
      <c r="D6" s="16" t="s">
        <v>14</v>
      </c>
      <c r="E6" s="11"/>
      <c r="F6" s="203" t="str">
        <f>'Rekapitulace stavby'!$K$6</f>
        <v>0251-15 - Podkrušnohorská nemocnice následné péče, ul.Podkrušnohorská 638, litvínov - stavební úpravy v 1.N.P.</v>
      </c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1"/>
      <c r="R6" s="12"/>
    </row>
    <row r="7" spans="2:18" s="6" customFormat="1" ht="18.75" customHeight="1">
      <c r="B7" s="22"/>
      <c r="C7" s="23"/>
      <c r="D7" s="15" t="s">
        <v>105</v>
      </c>
      <c r="E7" s="23"/>
      <c r="F7" s="171" t="s">
        <v>295</v>
      </c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23"/>
      <c r="R7" s="24"/>
    </row>
    <row r="8" spans="2:18" s="6" customFormat="1" ht="7.5" customHeight="1">
      <c r="B8" s="22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4"/>
    </row>
    <row r="9" spans="2:18" s="6" customFormat="1" ht="15" customHeight="1">
      <c r="B9" s="22"/>
      <c r="C9" s="23"/>
      <c r="D9" s="16" t="s">
        <v>18</v>
      </c>
      <c r="E9" s="23"/>
      <c r="F9" s="17" t="s">
        <v>19</v>
      </c>
      <c r="G9" s="23"/>
      <c r="H9" s="23"/>
      <c r="I9" s="23"/>
      <c r="J9" s="23"/>
      <c r="K9" s="23"/>
      <c r="L9" s="23"/>
      <c r="M9" s="16" t="s">
        <v>20</v>
      </c>
      <c r="N9" s="23"/>
      <c r="O9" s="204" t="str">
        <f>'Rekapitulace stavby'!$AN$8</f>
        <v>13.11.2015</v>
      </c>
      <c r="P9" s="183"/>
      <c r="Q9" s="23"/>
      <c r="R9" s="24"/>
    </row>
    <row r="10" spans="2:18" s="6" customFormat="1" ht="7.5" customHeight="1">
      <c r="B10" s="22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4"/>
    </row>
    <row r="11" spans="2:18" s="6" customFormat="1" ht="15" customHeight="1">
      <c r="B11" s="22"/>
      <c r="C11" s="23"/>
      <c r="D11" s="16" t="s">
        <v>24</v>
      </c>
      <c r="E11" s="23"/>
      <c r="F11" s="23"/>
      <c r="G11" s="23"/>
      <c r="H11" s="23"/>
      <c r="I11" s="23"/>
      <c r="J11" s="23"/>
      <c r="K11" s="23"/>
      <c r="L11" s="23"/>
      <c r="M11" s="16" t="s">
        <v>25</v>
      </c>
      <c r="N11" s="23"/>
      <c r="O11" s="184"/>
      <c r="P11" s="183"/>
      <c r="Q11" s="23"/>
      <c r="R11" s="24"/>
    </row>
    <row r="12" spans="2:18" s="6" customFormat="1" ht="18.75" customHeight="1">
      <c r="B12" s="22"/>
      <c r="C12" s="23"/>
      <c r="D12" s="23"/>
      <c r="E12" s="17" t="s">
        <v>26</v>
      </c>
      <c r="F12" s="23"/>
      <c r="G12" s="23"/>
      <c r="H12" s="23"/>
      <c r="I12" s="23"/>
      <c r="J12" s="23"/>
      <c r="K12" s="23"/>
      <c r="L12" s="23"/>
      <c r="M12" s="16" t="s">
        <v>27</v>
      </c>
      <c r="N12" s="23"/>
      <c r="O12" s="184"/>
      <c r="P12" s="183"/>
      <c r="Q12" s="23"/>
      <c r="R12" s="24"/>
    </row>
    <row r="13" spans="2:18" s="6" customFormat="1" ht="7.5" customHeight="1">
      <c r="B13" s="22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4"/>
    </row>
    <row r="14" spans="2:18" s="6" customFormat="1" ht="15" customHeight="1">
      <c r="B14" s="22"/>
      <c r="C14" s="23"/>
      <c r="D14" s="16" t="s">
        <v>28</v>
      </c>
      <c r="E14" s="23"/>
      <c r="F14" s="23"/>
      <c r="G14" s="23"/>
      <c r="H14" s="23"/>
      <c r="I14" s="23"/>
      <c r="J14" s="23"/>
      <c r="K14" s="23"/>
      <c r="L14" s="23"/>
      <c r="M14" s="16" t="s">
        <v>25</v>
      </c>
      <c r="N14" s="23"/>
      <c r="O14" s="205" t="str">
        <f>IF('Rekapitulace stavby'!$AN$13="","",'Rekapitulace stavby'!$AN$13)</f>
        <v>Vyplň údaj</v>
      </c>
      <c r="P14" s="183"/>
      <c r="Q14" s="23"/>
      <c r="R14" s="24"/>
    </row>
    <row r="15" spans="2:18" s="6" customFormat="1" ht="18.75" customHeight="1">
      <c r="B15" s="22"/>
      <c r="C15" s="23"/>
      <c r="D15" s="23"/>
      <c r="E15" s="205" t="str">
        <f>IF('Rekapitulace stavby'!$E$14="","",'Rekapitulace stavby'!$E$14)</f>
        <v>Vyplň údaj</v>
      </c>
      <c r="F15" s="183"/>
      <c r="G15" s="183"/>
      <c r="H15" s="183"/>
      <c r="I15" s="183"/>
      <c r="J15" s="183"/>
      <c r="K15" s="183"/>
      <c r="L15" s="183"/>
      <c r="M15" s="16" t="s">
        <v>27</v>
      </c>
      <c r="N15" s="23"/>
      <c r="O15" s="205" t="str">
        <f>IF('Rekapitulace stavby'!$AN$14="","",'Rekapitulace stavby'!$AN$14)</f>
        <v>Vyplň údaj</v>
      </c>
      <c r="P15" s="183"/>
      <c r="Q15" s="23"/>
      <c r="R15" s="24"/>
    </row>
    <row r="16" spans="2:18" s="6" customFormat="1" ht="7.5" customHeight="1">
      <c r="B16" s="2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4"/>
    </row>
    <row r="17" spans="2:18" s="6" customFormat="1" ht="15" customHeight="1">
      <c r="B17" s="22"/>
      <c r="C17" s="23"/>
      <c r="D17" s="16" t="s">
        <v>30</v>
      </c>
      <c r="E17" s="23"/>
      <c r="F17" s="23"/>
      <c r="G17" s="23"/>
      <c r="H17" s="23"/>
      <c r="I17" s="23"/>
      <c r="J17" s="23"/>
      <c r="K17" s="23"/>
      <c r="L17" s="23"/>
      <c r="M17" s="16" t="s">
        <v>25</v>
      </c>
      <c r="N17" s="23"/>
      <c r="O17" s="184"/>
      <c r="P17" s="183"/>
      <c r="Q17" s="23"/>
      <c r="R17" s="24"/>
    </row>
    <row r="18" spans="2:18" s="6" customFormat="1" ht="18.75" customHeight="1">
      <c r="B18" s="22"/>
      <c r="C18" s="23"/>
      <c r="D18" s="23"/>
      <c r="E18" s="17" t="s">
        <v>31</v>
      </c>
      <c r="F18" s="23"/>
      <c r="G18" s="23"/>
      <c r="H18" s="23"/>
      <c r="I18" s="23"/>
      <c r="J18" s="23"/>
      <c r="K18" s="23"/>
      <c r="L18" s="23"/>
      <c r="M18" s="16" t="s">
        <v>27</v>
      </c>
      <c r="N18" s="23"/>
      <c r="O18" s="184"/>
      <c r="P18" s="183"/>
      <c r="Q18" s="23"/>
      <c r="R18" s="24"/>
    </row>
    <row r="19" spans="2:18" s="6" customFormat="1" ht="7.5" customHeight="1">
      <c r="B19" s="22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4"/>
    </row>
    <row r="20" spans="2:18" s="6" customFormat="1" ht="15" customHeight="1">
      <c r="B20" s="22"/>
      <c r="C20" s="23"/>
      <c r="D20" s="16" t="s">
        <v>33</v>
      </c>
      <c r="E20" s="23"/>
      <c r="F20" s="23"/>
      <c r="G20" s="23"/>
      <c r="H20" s="23"/>
      <c r="I20" s="23"/>
      <c r="J20" s="23"/>
      <c r="K20" s="23"/>
      <c r="L20" s="23"/>
      <c r="M20" s="16" t="s">
        <v>25</v>
      </c>
      <c r="N20" s="23"/>
      <c r="O20" s="184"/>
      <c r="P20" s="183"/>
      <c r="Q20" s="23"/>
      <c r="R20" s="24"/>
    </row>
    <row r="21" spans="2:18" s="6" customFormat="1" ht="18.75" customHeight="1">
      <c r="B21" s="22"/>
      <c r="C21" s="23"/>
      <c r="D21" s="23"/>
      <c r="E21" s="17" t="s">
        <v>296</v>
      </c>
      <c r="F21" s="23"/>
      <c r="G21" s="23"/>
      <c r="H21" s="23"/>
      <c r="I21" s="23"/>
      <c r="J21" s="23"/>
      <c r="K21" s="23"/>
      <c r="L21" s="23"/>
      <c r="M21" s="16" t="s">
        <v>27</v>
      </c>
      <c r="N21" s="23"/>
      <c r="O21" s="184"/>
      <c r="P21" s="183"/>
      <c r="Q21" s="23"/>
      <c r="R21" s="24"/>
    </row>
    <row r="22" spans="2:18" s="6" customFormat="1" ht="7.5" customHeight="1">
      <c r="B22" s="2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4"/>
    </row>
    <row r="23" spans="2:18" s="6" customFormat="1" ht="7.5" customHeight="1">
      <c r="B23" s="22"/>
      <c r="C23" s="23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23"/>
      <c r="R23" s="24"/>
    </row>
    <row r="24" spans="2:18" s="6" customFormat="1" ht="15" customHeight="1">
      <c r="B24" s="22"/>
      <c r="C24" s="23"/>
      <c r="D24" s="96" t="s">
        <v>108</v>
      </c>
      <c r="E24" s="23"/>
      <c r="F24" s="23"/>
      <c r="G24" s="23"/>
      <c r="H24" s="23"/>
      <c r="I24" s="23"/>
      <c r="J24" s="23"/>
      <c r="K24" s="23"/>
      <c r="L24" s="23"/>
      <c r="M24" s="173">
        <f>$N$88</f>
        <v>0</v>
      </c>
      <c r="N24" s="183"/>
      <c r="O24" s="183"/>
      <c r="P24" s="183"/>
      <c r="Q24" s="23"/>
      <c r="R24" s="24"/>
    </row>
    <row r="25" spans="2:18" s="6" customFormat="1" ht="15" customHeight="1">
      <c r="B25" s="22"/>
      <c r="C25" s="23"/>
      <c r="D25" s="21" t="s">
        <v>94</v>
      </c>
      <c r="E25" s="23"/>
      <c r="F25" s="23"/>
      <c r="G25" s="23"/>
      <c r="H25" s="23"/>
      <c r="I25" s="23"/>
      <c r="J25" s="23"/>
      <c r="K25" s="23"/>
      <c r="L25" s="23"/>
      <c r="M25" s="173">
        <f>$N$106</f>
        <v>0</v>
      </c>
      <c r="N25" s="183"/>
      <c r="O25" s="183"/>
      <c r="P25" s="183"/>
      <c r="Q25" s="23"/>
      <c r="R25" s="24"/>
    </row>
    <row r="26" spans="2:18" s="6" customFormat="1" ht="7.5" customHeight="1">
      <c r="B26" s="22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4"/>
    </row>
    <row r="27" spans="2:18" s="6" customFormat="1" ht="26.25" customHeight="1">
      <c r="B27" s="22"/>
      <c r="C27" s="23"/>
      <c r="D27" s="97" t="s">
        <v>36</v>
      </c>
      <c r="E27" s="23"/>
      <c r="F27" s="23"/>
      <c r="G27" s="23"/>
      <c r="H27" s="23"/>
      <c r="I27" s="23"/>
      <c r="J27" s="23"/>
      <c r="K27" s="23"/>
      <c r="L27" s="23"/>
      <c r="M27" s="206">
        <f>ROUNDUP($M$24+$M$25,2)</f>
        <v>0</v>
      </c>
      <c r="N27" s="183"/>
      <c r="O27" s="183"/>
      <c r="P27" s="183"/>
      <c r="Q27" s="23"/>
      <c r="R27" s="24"/>
    </row>
    <row r="28" spans="2:18" s="6" customFormat="1" ht="7.5" customHeight="1">
      <c r="B28" s="22"/>
      <c r="C28" s="23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23"/>
      <c r="R28" s="24"/>
    </row>
    <row r="29" spans="2:18" s="6" customFormat="1" ht="15" customHeight="1">
      <c r="B29" s="22"/>
      <c r="C29" s="23"/>
      <c r="D29" s="28" t="s">
        <v>37</v>
      </c>
      <c r="E29" s="28" t="s">
        <v>38</v>
      </c>
      <c r="F29" s="29">
        <v>0.21</v>
      </c>
      <c r="G29" s="98" t="s">
        <v>39</v>
      </c>
      <c r="H29" s="207">
        <f>ROUNDUP((((SUM($BE$106:$BE$113)+SUM($BE$131:$BE$279))+SUM($BE$281:$BE$285))),2)</f>
        <v>0</v>
      </c>
      <c r="I29" s="183"/>
      <c r="J29" s="183"/>
      <c r="K29" s="23"/>
      <c r="L29" s="23"/>
      <c r="M29" s="207">
        <f>ROUNDUP((((SUM($BE$106:$BE$113)+SUM($BE$131:$BE$279))*$F$29)+SUM($BE$281:$BE$285)*$F$29),1)</f>
        <v>0</v>
      </c>
      <c r="N29" s="183"/>
      <c r="O29" s="183"/>
      <c r="P29" s="183"/>
      <c r="Q29" s="23"/>
      <c r="R29" s="24"/>
    </row>
    <row r="30" spans="2:18" s="6" customFormat="1" ht="15" customHeight="1">
      <c r="B30" s="22"/>
      <c r="C30" s="23"/>
      <c r="D30" s="23"/>
      <c r="E30" s="28" t="s">
        <v>40</v>
      </c>
      <c r="F30" s="29">
        <v>0.15</v>
      </c>
      <c r="G30" s="98" t="s">
        <v>39</v>
      </c>
      <c r="H30" s="207">
        <f>ROUNDUP((((SUM($BF$106:$BF$113)+SUM($BF$131:$BF$279))+SUM($BF$281:$BF$285))),2)</f>
        <v>0</v>
      </c>
      <c r="I30" s="183"/>
      <c r="J30" s="183"/>
      <c r="K30" s="23"/>
      <c r="L30" s="23"/>
      <c r="M30" s="207">
        <f>ROUNDUP((((SUM($BF$106:$BF$113)+SUM($BF$131:$BF$279))*$F$30)+SUM($BF$281:$BF$285)*$F$30),1)</f>
        <v>0</v>
      </c>
      <c r="N30" s="183"/>
      <c r="O30" s="183"/>
      <c r="P30" s="183"/>
      <c r="Q30" s="23"/>
      <c r="R30" s="24"/>
    </row>
    <row r="31" spans="2:18" s="6" customFormat="1" ht="15" customHeight="1" hidden="1">
      <c r="B31" s="22"/>
      <c r="C31" s="23"/>
      <c r="D31" s="23"/>
      <c r="E31" s="28" t="s">
        <v>41</v>
      </c>
      <c r="F31" s="29">
        <v>0.21</v>
      </c>
      <c r="G31" s="98" t="s">
        <v>39</v>
      </c>
      <c r="H31" s="207">
        <f>ROUNDUP((((SUM($BG$106:$BG$113)+SUM($BG$131:$BG$279))+SUM($BG$281:$BG$285))),2)</f>
        <v>0</v>
      </c>
      <c r="I31" s="183"/>
      <c r="J31" s="183"/>
      <c r="K31" s="23"/>
      <c r="L31" s="23"/>
      <c r="M31" s="207">
        <v>0</v>
      </c>
      <c r="N31" s="183"/>
      <c r="O31" s="183"/>
      <c r="P31" s="183"/>
      <c r="Q31" s="23"/>
      <c r="R31" s="24"/>
    </row>
    <row r="32" spans="2:18" s="6" customFormat="1" ht="15" customHeight="1" hidden="1">
      <c r="B32" s="22"/>
      <c r="C32" s="23"/>
      <c r="D32" s="23"/>
      <c r="E32" s="28" t="s">
        <v>42</v>
      </c>
      <c r="F32" s="29">
        <v>0.15</v>
      </c>
      <c r="G32" s="98" t="s">
        <v>39</v>
      </c>
      <c r="H32" s="207">
        <f>ROUNDUP((((SUM($BH$106:$BH$113)+SUM($BH$131:$BH$279))+SUM($BH$281:$BH$285))),2)</f>
        <v>0</v>
      </c>
      <c r="I32" s="183"/>
      <c r="J32" s="183"/>
      <c r="K32" s="23"/>
      <c r="L32" s="23"/>
      <c r="M32" s="207">
        <v>0</v>
      </c>
      <c r="N32" s="183"/>
      <c r="O32" s="183"/>
      <c r="P32" s="183"/>
      <c r="Q32" s="23"/>
      <c r="R32" s="24"/>
    </row>
    <row r="33" spans="2:18" s="6" customFormat="1" ht="15" customHeight="1" hidden="1">
      <c r="B33" s="22"/>
      <c r="C33" s="23"/>
      <c r="D33" s="23"/>
      <c r="E33" s="28" t="s">
        <v>43</v>
      </c>
      <c r="F33" s="29">
        <v>0</v>
      </c>
      <c r="G33" s="98" t="s">
        <v>39</v>
      </c>
      <c r="H33" s="207">
        <f>ROUNDUP((((SUM($BI$106:$BI$113)+SUM($BI$131:$BI$279))+SUM($BI$281:$BI$285))),2)</f>
        <v>0</v>
      </c>
      <c r="I33" s="183"/>
      <c r="J33" s="183"/>
      <c r="K33" s="23"/>
      <c r="L33" s="23"/>
      <c r="M33" s="207">
        <v>0</v>
      </c>
      <c r="N33" s="183"/>
      <c r="O33" s="183"/>
      <c r="P33" s="183"/>
      <c r="Q33" s="23"/>
      <c r="R33" s="24"/>
    </row>
    <row r="34" spans="2:18" s="6" customFormat="1" ht="7.5" customHeight="1">
      <c r="B34" s="22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4"/>
    </row>
    <row r="35" spans="2:18" s="6" customFormat="1" ht="26.25" customHeight="1">
      <c r="B35" s="22"/>
      <c r="C35" s="32"/>
      <c r="D35" s="33" t="s">
        <v>44</v>
      </c>
      <c r="E35" s="34"/>
      <c r="F35" s="34"/>
      <c r="G35" s="99" t="s">
        <v>45</v>
      </c>
      <c r="H35" s="35" t="s">
        <v>46</v>
      </c>
      <c r="I35" s="34"/>
      <c r="J35" s="34"/>
      <c r="K35" s="34"/>
      <c r="L35" s="181">
        <f>ROUNDUP(SUM($M$27:$M$33),2)</f>
        <v>0</v>
      </c>
      <c r="M35" s="180"/>
      <c r="N35" s="180"/>
      <c r="O35" s="180"/>
      <c r="P35" s="182"/>
      <c r="Q35" s="32"/>
      <c r="R35" s="24"/>
    </row>
    <row r="36" spans="2:18" s="6" customFormat="1" ht="15" customHeight="1">
      <c r="B36" s="2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4"/>
    </row>
    <row r="37" spans="2:18" s="6" customFormat="1" ht="15" customHeight="1">
      <c r="B37" s="22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4"/>
    </row>
    <row r="38" spans="2:18" s="2" customFormat="1" ht="14.25" customHeight="1">
      <c r="B38" s="10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2"/>
    </row>
    <row r="39" spans="2:18" s="2" customFormat="1" ht="14.25" customHeight="1">
      <c r="B39" s="10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2"/>
    </row>
    <row r="40" spans="2:18" s="2" customFormat="1" ht="14.25" customHeight="1">
      <c r="B40" s="10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2"/>
    </row>
    <row r="41" spans="2:18" s="2" customFormat="1" ht="14.25" customHeight="1">
      <c r="B41" s="10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2"/>
    </row>
    <row r="42" spans="2:18" s="2" customFormat="1" ht="14.25" customHeight="1">
      <c r="B42" s="10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2"/>
    </row>
    <row r="43" spans="2:18" s="2" customFormat="1" ht="14.25" customHeight="1">
      <c r="B43" s="10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2"/>
    </row>
    <row r="44" spans="2:18" s="2" customFormat="1" ht="14.25" customHeight="1">
      <c r="B44" s="10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2"/>
    </row>
    <row r="45" spans="2:18" s="2" customFormat="1" ht="14.25" customHeight="1">
      <c r="B45" s="10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2"/>
    </row>
    <row r="46" spans="2:18" s="2" customFormat="1" ht="14.25" customHeight="1">
      <c r="B46" s="10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2"/>
    </row>
    <row r="47" spans="2:18" s="2" customFormat="1" ht="14.25" customHeight="1">
      <c r="B47" s="10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2"/>
    </row>
    <row r="48" spans="2:18" s="2" customFormat="1" ht="14.25" customHeight="1">
      <c r="B48" s="10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2"/>
    </row>
    <row r="49" spans="2:18" s="2" customFormat="1" ht="14.25" customHeight="1">
      <c r="B49" s="10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2"/>
    </row>
    <row r="50" spans="2:18" s="6" customFormat="1" ht="15.75" customHeight="1">
      <c r="B50" s="22"/>
      <c r="C50" s="23"/>
      <c r="D50" s="36" t="s">
        <v>47</v>
      </c>
      <c r="E50" s="37"/>
      <c r="F50" s="37"/>
      <c r="G50" s="37"/>
      <c r="H50" s="38"/>
      <c r="I50" s="23"/>
      <c r="J50" s="36" t="s">
        <v>48</v>
      </c>
      <c r="K50" s="37"/>
      <c r="L50" s="37"/>
      <c r="M50" s="37"/>
      <c r="N50" s="37"/>
      <c r="O50" s="37"/>
      <c r="P50" s="38"/>
      <c r="Q50" s="23"/>
      <c r="R50" s="24"/>
    </row>
    <row r="51" spans="2:18" s="2" customFormat="1" ht="14.25" customHeight="1">
      <c r="B51" s="10"/>
      <c r="C51" s="11"/>
      <c r="D51" s="39"/>
      <c r="E51" s="11"/>
      <c r="F51" s="11"/>
      <c r="G51" s="11"/>
      <c r="H51" s="40"/>
      <c r="I51" s="11"/>
      <c r="J51" s="39"/>
      <c r="K51" s="11"/>
      <c r="L51" s="11"/>
      <c r="M51" s="11"/>
      <c r="N51" s="11"/>
      <c r="O51" s="11"/>
      <c r="P51" s="40"/>
      <c r="Q51" s="11"/>
      <c r="R51" s="12"/>
    </row>
    <row r="52" spans="2:18" s="2" customFormat="1" ht="14.25" customHeight="1">
      <c r="B52" s="10"/>
      <c r="C52" s="11"/>
      <c r="D52" s="39"/>
      <c r="E52" s="11"/>
      <c r="F52" s="11"/>
      <c r="G52" s="11"/>
      <c r="H52" s="40"/>
      <c r="I52" s="11"/>
      <c r="J52" s="39"/>
      <c r="K52" s="11"/>
      <c r="L52" s="11"/>
      <c r="M52" s="11"/>
      <c r="N52" s="11"/>
      <c r="O52" s="11"/>
      <c r="P52" s="40"/>
      <c r="Q52" s="11"/>
      <c r="R52" s="12"/>
    </row>
    <row r="53" spans="2:18" s="2" customFormat="1" ht="14.25" customHeight="1">
      <c r="B53" s="10"/>
      <c r="C53" s="11"/>
      <c r="D53" s="39"/>
      <c r="E53" s="11"/>
      <c r="F53" s="11"/>
      <c r="G53" s="11"/>
      <c r="H53" s="40"/>
      <c r="I53" s="11"/>
      <c r="J53" s="39"/>
      <c r="K53" s="11"/>
      <c r="L53" s="11"/>
      <c r="M53" s="11"/>
      <c r="N53" s="11"/>
      <c r="O53" s="11"/>
      <c r="P53" s="40"/>
      <c r="Q53" s="11"/>
      <c r="R53" s="12"/>
    </row>
    <row r="54" spans="2:18" s="2" customFormat="1" ht="14.25" customHeight="1">
      <c r="B54" s="10"/>
      <c r="C54" s="11"/>
      <c r="D54" s="39"/>
      <c r="E54" s="11"/>
      <c r="F54" s="11"/>
      <c r="G54" s="11"/>
      <c r="H54" s="40"/>
      <c r="I54" s="11"/>
      <c r="J54" s="39"/>
      <c r="K54" s="11"/>
      <c r="L54" s="11"/>
      <c r="M54" s="11"/>
      <c r="N54" s="11"/>
      <c r="O54" s="11"/>
      <c r="P54" s="40"/>
      <c r="Q54" s="11"/>
      <c r="R54" s="12"/>
    </row>
    <row r="55" spans="2:18" s="2" customFormat="1" ht="14.25" customHeight="1">
      <c r="B55" s="10"/>
      <c r="C55" s="11"/>
      <c r="D55" s="39"/>
      <c r="E55" s="11"/>
      <c r="F55" s="11"/>
      <c r="G55" s="11"/>
      <c r="H55" s="40"/>
      <c r="I55" s="11"/>
      <c r="J55" s="39"/>
      <c r="K55" s="11"/>
      <c r="L55" s="11"/>
      <c r="M55" s="11"/>
      <c r="N55" s="11"/>
      <c r="O55" s="11"/>
      <c r="P55" s="40"/>
      <c r="Q55" s="11"/>
      <c r="R55" s="12"/>
    </row>
    <row r="56" spans="2:18" s="2" customFormat="1" ht="14.25" customHeight="1">
      <c r="B56" s="10"/>
      <c r="C56" s="11"/>
      <c r="D56" s="39"/>
      <c r="E56" s="11"/>
      <c r="F56" s="11"/>
      <c r="G56" s="11"/>
      <c r="H56" s="40"/>
      <c r="I56" s="11"/>
      <c r="J56" s="39"/>
      <c r="K56" s="11"/>
      <c r="L56" s="11"/>
      <c r="M56" s="11"/>
      <c r="N56" s="11"/>
      <c r="O56" s="11"/>
      <c r="P56" s="40"/>
      <c r="Q56" s="11"/>
      <c r="R56" s="12"/>
    </row>
    <row r="57" spans="2:18" s="2" customFormat="1" ht="14.25" customHeight="1">
      <c r="B57" s="10"/>
      <c r="C57" s="11"/>
      <c r="D57" s="39"/>
      <c r="E57" s="11"/>
      <c r="F57" s="11"/>
      <c r="G57" s="11"/>
      <c r="H57" s="40"/>
      <c r="I57" s="11"/>
      <c r="J57" s="39"/>
      <c r="K57" s="11"/>
      <c r="L57" s="11"/>
      <c r="M57" s="11"/>
      <c r="N57" s="11"/>
      <c r="O57" s="11"/>
      <c r="P57" s="40"/>
      <c r="Q57" s="11"/>
      <c r="R57" s="12"/>
    </row>
    <row r="58" spans="2:18" s="2" customFormat="1" ht="14.25" customHeight="1">
      <c r="B58" s="10"/>
      <c r="C58" s="11"/>
      <c r="D58" s="39"/>
      <c r="E58" s="11"/>
      <c r="F58" s="11"/>
      <c r="G58" s="11"/>
      <c r="H58" s="40"/>
      <c r="I58" s="11"/>
      <c r="J58" s="39"/>
      <c r="K58" s="11"/>
      <c r="L58" s="11"/>
      <c r="M58" s="11"/>
      <c r="N58" s="11"/>
      <c r="O58" s="11"/>
      <c r="P58" s="40"/>
      <c r="Q58" s="11"/>
      <c r="R58" s="12"/>
    </row>
    <row r="59" spans="2:18" s="6" customFormat="1" ht="15.75" customHeight="1">
      <c r="B59" s="22"/>
      <c r="C59" s="23"/>
      <c r="D59" s="41" t="s">
        <v>49</v>
      </c>
      <c r="E59" s="42"/>
      <c r="F59" s="42"/>
      <c r="G59" s="43" t="s">
        <v>50</v>
      </c>
      <c r="H59" s="44"/>
      <c r="I59" s="23"/>
      <c r="J59" s="41" t="s">
        <v>49</v>
      </c>
      <c r="K59" s="42"/>
      <c r="L59" s="42"/>
      <c r="M59" s="42"/>
      <c r="N59" s="43" t="s">
        <v>50</v>
      </c>
      <c r="O59" s="42"/>
      <c r="P59" s="44"/>
      <c r="Q59" s="23"/>
      <c r="R59" s="24"/>
    </row>
    <row r="60" spans="2:18" s="2" customFormat="1" ht="14.25" customHeight="1">
      <c r="B60" s="10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2"/>
    </row>
    <row r="61" spans="2:18" s="6" customFormat="1" ht="15.75" customHeight="1">
      <c r="B61" s="22"/>
      <c r="C61" s="23"/>
      <c r="D61" s="36" t="s">
        <v>51</v>
      </c>
      <c r="E61" s="37"/>
      <c r="F61" s="37"/>
      <c r="G61" s="37"/>
      <c r="H61" s="38"/>
      <c r="I61" s="23"/>
      <c r="J61" s="36" t="s">
        <v>52</v>
      </c>
      <c r="K61" s="37"/>
      <c r="L61" s="37"/>
      <c r="M61" s="37"/>
      <c r="N61" s="37"/>
      <c r="O61" s="37"/>
      <c r="P61" s="38"/>
      <c r="Q61" s="23"/>
      <c r="R61" s="24"/>
    </row>
    <row r="62" spans="2:18" s="2" customFormat="1" ht="14.25" customHeight="1">
      <c r="B62" s="10"/>
      <c r="C62" s="11"/>
      <c r="D62" s="39"/>
      <c r="E62" s="11"/>
      <c r="F62" s="11"/>
      <c r="G62" s="11"/>
      <c r="H62" s="40"/>
      <c r="I62" s="11"/>
      <c r="J62" s="39"/>
      <c r="K62" s="11"/>
      <c r="L62" s="11"/>
      <c r="M62" s="11"/>
      <c r="N62" s="11"/>
      <c r="O62" s="11"/>
      <c r="P62" s="40"/>
      <c r="Q62" s="11"/>
      <c r="R62" s="12"/>
    </row>
    <row r="63" spans="2:18" s="2" customFormat="1" ht="14.25" customHeight="1">
      <c r="B63" s="10"/>
      <c r="C63" s="11"/>
      <c r="D63" s="39"/>
      <c r="E63" s="11"/>
      <c r="F63" s="11"/>
      <c r="G63" s="11"/>
      <c r="H63" s="40"/>
      <c r="I63" s="11"/>
      <c r="J63" s="39"/>
      <c r="K63" s="11"/>
      <c r="L63" s="11"/>
      <c r="M63" s="11"/>
      <c r="N63" s="11"/>
      <c r="O63" s="11"/>
      <c r="P63" s="40"/>
      <c r="Q63" s="11"/>
      <c r="R63" s="12"/>
    </row>
    <row r="64" spans="2:18" s="2" customFormat="1" ht="14.25" customHeight="1">
      <c r="B64" s="10"/>
      <c r="C64" s="11"/>
      <c r="D64" s="39"/>
      <c r="E64" s="11"/>
      <c r="F64" s="11"/>
      <c r="G64" s="11"/>
      <c r="H64" s="40"/>
      <c r="I64" s="11"/>
      <c r="J64" s="39"/>
      <c r="K64" s="11"/>
      <c r="L64" s="11"/>
      <c r="M64" s="11"/>
      <c r="N64" s="11"/>
      <c r="O64" s="11"/>
      <c r="P64" s="40"/>
      <c r="Q64" s="11"/>
      <c r="R64" s="12"/>
    </row>
    <row r="65" spans="2:18" s="2" customFormat="1" ht="14.25" customHeight="1">
      <c r="B65" s="10"/>
      <c r="C65" s="11"/>
      <c r="D65" s="39"/>
      <c r="E65" s="11"/>
      <c r="F65" s="11"/>
      <c r="G65" s="11"/>
      <c r="H65" s="40"/>
      <c r="I65" s="11"/>
      <c r="J65" s="39"/>
      <c r="K65" s="11"/>
      <c r="L65" s="11"/>
      <c r="M65" s="11"/>
      <c r="N65" s="11"/>
      <c r="O65" s="11"/>
      <c r="P65" s="40"/>
      <c r="Q65" s="11"/>
      <c r="R65" s="12"/>
    </row>
    <row r="66" spans="2:18" s="2" customFormat="1" ht="14.25" customHeight="1">
      <c r="B66" s="10"/>
      <c r="C66" s="11"/>
      <c r="D66" s="39"/>
      <c r="E66" s="11"/>
      <c r="F66" s="11"/>
      <c r="G66" s="11"/>
      <c r="H66" s="40"/>
      <c r="I66" s="11"/>
      <c r="J66" s="39"/>
      <c r="K66" s="11"/>
      <c r="L66" s="11"/>
      <c r="M66" s="11"/>
      <c r="N66" s="11"/>
      <c r="O66" s="11"/>
      <c r="P66" s="40"/>
      <c r="Q66" s="11"/>
      <c r="R66" s="12"/>
    </row>
    <row r="67" spans="2:18" s="2" customFormat="1" ht="14.25" customHeight="1">
      <c r="B67" s="10"/>
      <c r="C67" s="11"/>
      <c r="D67" s="39"/>
      <c r="E67" s="11"/>
      <c r="F67" s="11"/>
      <c r="G67" s="11"/>
      <c r="H67" s="40"/>
      <c r="I67" s="11"/>
      <c r="J67" s="39"/>
      <c r="K67" s="11"/>
      <c r="L67" s="11"/>
      <c r="M67" s="11"/>
      <c r="N67" s="11"/>
      <c r="O67" s="11"/>
      <c r="P67" s="40"/>
      <c r="Q67" s="11"/>
      <c r="R67" s="12"/>
    </row>
    <row r="68" spans="2:18" s="2" customFormat="1" ht="14.25" customHeight="1">
      <c r="B68" s="10"/>
      <c r="C68" s="11"/>
      <c r="D68" s="39"/>
      <c r="E68" s="11"/>
      <c r="F68" s="11"/>
      <c r="G68" s="11"/>
      <c r="H68" s="40"/>
      <c r="I68" s="11"/>
      <c r="J68" s="39"/>
      <c r="K68" s="11"/>
      <c r="L68" s="11"/>
      <c r="M68" s="11"/>
      <c r="N68" s="11"/>
      <c r="O68" s="11"/>
      <c r="P68" s="40"/>
      <c r="Q68" s="11"/>
      <c r="R68" s="12"/>
    </row>
    <row r="69" spans="2:18" s="2" customFormat="1" ht="14.25" customHeight="1">
      <c r="B69" s="10"/>
      <c r="C69" s="11"/>
      <c r="D69" s="39"/>
      <c r="E69" s="11"/>
      <c r="F69" s="11"/>
      <c r="G69" s="11"/>
      <c r="H69" s="40"/>
      <c r="I69" s="11"/>
      <c r="J69" s="39"/>
      <c r="K69" s="11"/>
      <c r="L69" s="11"/>
      <c r="M69" s="11"/>
      <c r="N69" s="11"/>
      <c r="O69" s="11"/>
      <c r="P69" s="40"/>
      <c r="Q69" s="11"/>
      <c r="R69" s="12"/>
    </row>
    <row r="70" spans="2:18" s="6" customFormat="1" ht="15.75" customHeight="1">
      <c r="B70" s="22"/>
      <c r="C70" s="23"/>
      <c r="D70" s="41" t="s">
        <v>49</v>
      </c>
      <c r="E70" s="42"/>
      <c r="F70" s="42"/>
      <c r="G70" s="43" t="s">
        <v>50</v>
      </c>
      <c r="H70" s="44"/>
      <c r="I70" s="23"/>
      <c r="J70" s="41" t="s">
        <v>49</v>
      </c>
      <c r="K70" s="42"/>
      <c r="L70" s="42"/>
      <c r="M70" s="42"/>
      <c r="N70" s="43" t="s">
        <v>50</v>
      </c>
      <c r="O70" s="42"/>
      <c r="P70" s="44"/>
      <c r="Q70" s="23"/>
      <c r="R70" s="24"/>
    </row>
    <row r="71" spans="2:18" s="6" customFormat="1" ht="15" customHeight="1">
      <c r="B71" s="45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7"/>
    </row>
    <row r="75" spans="2:18" s="6" customFormat="1" ht="7.5" customHeight="1">
      <c r="B75" s="100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2"/>
    </row>
    <row r="76" spans="2:21" s="6" customFormat="1" ht="37.5" customHeight="1">
      <c r="B76" s="22"/>
      <c r="C76" s="166" t="s">
        <v>109</v>
      </c>
      <c r="D76" s="183"/>
      <c r="E76" s="183"/>
      <c r="F76" s="183"/>
      <c r="G76" s="183"/>
      <c r="H76" s="183"/>
      <c r="I76" s="183"/>
      <c r="J76" s="183"/>
      <c r="K76" s="183"/>
      <c r="L76" s="183"/>
      <c r="M76" s="183"/>
      <c r="N76" s="183"/>
      <c r="O76" s="183"/>
      <c r="P76" s="183"/>
      <c r="Q76" s="183"/>
      <c r="R76" s="24"/>
      <c r="T76" s="23"/>
      <c r="U76" s="23"/>
    </row>
    <row r="77" spans="2:21" s="6" customFormat="1" ht="7.5" customHeight="1">
      <c r="B77" s="22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4"/>
      <c r="T77" s="23"/>
      <c r="U77" s="23"/>
    </row>
    <row r="78" spans="2:21" s="6" customFormat="1" ht="15" customHeight="1">
      <c r="B78" s="22"/>
      <c r="C78" s="16" t="s">
        <v>14</v>
      </c>
      <c r="D78" s="23"/>
      <c r="E78" s="23"/>
      <c r="F78" s="203" t="str">
        <f>$F$6</f>
        <v>0251-15 - Podkrušnohorská nemocnice následné péče, ul.Podkrušnohorská 638, litvínov - stavební úpravy v 1.N.P.</v>
      </c>
      <c r="G78" s="183"/>
      <c r="H78" s="183"/>
      <c r="I78" s="183"/>
      <c r="J78" s="183"/>
      <c r="K78" s="183"/>
      <c r="L78" s="183"/>
      <c r="M78" s="183"/>
      <c r="N78" s="183"/>
      <c r="O78" s="183"/>
      <c r="P78" s="183"/>
      <c r="Q78" s="23"/>
      <c r="R78" s="24"/>
      <c r="T78" s="23"/>
      <c r="U78" s="23"/>
    </row>
    <row r="79" spans="2:21" s="6" customFormat="1" ht="15" customHeight="1">
      <c r="B79" s="22"/>
      <c r="C79" s="15" t="s">
        <v>105</v>
      </c>
      <c r="D79" s="23"/>
      <c r="E79" s="23"/>
      <c r="F79" s="171" t="str">
        <f>$F$7</f>
        <v>stavební - Stavební část</v>
      </c>
      <c r="G79" s="183"/>
      <c r="H79" s="183"/>
      <c r="I79" s="183"/>
      <c r="J79" s="183"/>
      <c r="K79" s="183"/>
      <c r="L79" s="183"/>
      <c r="M79" s="183"/>
      <c r="N79" s="183"/>
      <c r="O79" s="183"/>
      <c r="P79" s="183"/>
      <c r="Q79" s="23"/>
      <c r="R79" s="24"/>
      <c r="T79" s="23"/>
      <c r="U79" s="23"/>
    </row>
    <row r="80" spans="2:21" s="6" customFormat="1" ht="7.5" customHeight="1">
      <c r="B80" s="22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4"/>
      <c r="T80" s="23"/>
      <c r="U80" s="23"/>
    </row>
    <row r="81" spans="2:21" s="6" customFormat="1" ht="18.75" customHeight="1">
      <c r="B81" s="22"/>
      <c r="C81" s="16" t="s">
        <v>18</v>
      </c>
      <c r="D81" s="23"/>
      <c r="E81" s="23"/>
      <c r="F81" s="17" t="str">
        <f>$F$9</f>
        <v> </v>
      </c>
      <c r="G81" s="23"/>
      <c r="H81" s="23"/>
      <c r="I81" s="23"/>
      <c r="J81" s="23"/>
      <c r="K81" s="16" t="s">
        <v>20</v>
      </c>
      <c r="L81" s="23"/>
      <c r="M81" s="208" t="str">
        <f>IF($O$9="","",$O$9)</f>
        <v>13.11.2015</v>
      </c>
      <c r="N81" s="183"/>
      <c r="O81" s="183"/>
      <c r="P81" s="183"/>
      <c r="Q81" s="23"/>
      <c r="R81" s="24"/>
      <c r="T81" s="23"/>
      <c r="U81" s="23"/>
    </row>
    <row r="82" spans="2:21" s="6" customFormat="1" ht="7.5" customHeight="1"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4"/>
      <c r="T82" s="23"/>
      <c r="U82" s="23"/>
    </row>
    <row r="83" spans="2:21" s="6" customFormat="1" ht="15.75" customHeight="1">
      <c r="B83" s="22"/>
      <c r="C83" s="16" t="s">
        <v>24</v>
      </c>
      <c r="D83" s="23"/>
      <c r="E83" s="23"/>
      <c r="F83" s="17" t="str">
        <f>$E$12</f>
        <v>KPlL s.r.o., ul.Žižkova 151, Litvínov</v>
      </c>
      <c r="G83" s="23"/>
      <c r="H83" s="23"/>
      <c r="I83" s="23"/>
      <c r="J83" s="23"/>
      <c r="K83" s="16" t="s">
        <v>30</v>
      </c>
      <c r="L83" s="23"/>
      <c r="M83" s="184" t="str">
        <f>$E$18</f>
        <v>VPH s.r.o.</v>
      </c>
      <c r="N83" s="183"/>
      <c r="O83" s="183"/>
      <c r="P83" s="183"/>
      <c r="Q83" s="183"/>
      <c r="R83" s="24"/>
      <c r="T83" s="23"/>
      <c r="U83" s="23"/>
    </row>
    <row r="84" spans="2:21" s="6" customFormat="1" ht="15" customHeight="1">
      <c r="B84" s="22"/>
      <c r="C84" s="16" t="s">
        <v>28</v>
      </c>
      <c r="D84" s="23"/>
      <c r="E84" s="23"/>
      <c r="F84" s="17" t="str">
        <f>IF($E$15="","",$E$15)</f>
        <v>Vyplň údaj</v>
      </c>
      <c r="G84" s="23"/>
      <c r="H84" s="23"/>
      <c r="I84" s="23"/>
      <c r="J84" s="23"/>
      <c r="K84" s="16" t="s">
        <v>33</v>
      </c>
      <c r="L84" s="23"/>
      <c r="M84" s="184" t="str">
        <f>$E$21</f>
        <v>ing.Žílová</v>
      </c>
      <c r="N84" s="183"/>
      <c r="O84" s="183"/>
      <c r="P84" s="183"/>
      <c r="Q84" s="183"/>
      <c r="R84" s="24"/>
      <c r="T84" s="23"/>
      <c r="U84" s="23"/>
    </row>
    <row r="85" spans="2:21" s="6" customFormat="1" ht="11.25" customHeight="1">
      <c r="B85" s="22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4"/>
      <c r="T85" s="23"/>
      <c r="U85" s="23"/>
    </row>
    <row r="86" spans="2:21" s="6" customFormat="1" ht="30" customHeight="1">
      <c r="B86" s="22"/>
      <c r="C86" s="209" t="s">
        <v>110</v>
      </c>
      <c r="D86" s="201"/>
      <c r="E86" s="201"/>
      <c r="F86" s="201"/>
      <c r="G86" s="201"/>
      <c r="H86" s="32"/>
      <c r="I86" s="32"/>
      <c r="J86" s="32"/>
      <c r="K86" s="32"/>
      <c r="L86" s="32"/>
      <c r="M86" s="32"/>
      <c r="N86" s="209" t="s">
        <v>111</v>
      </c>
      <c r="O86" s="183"/>
      <c r="P86" s="183"/>
      <c r="Q86" s="183"/>
      <c r="R86" s="24"/>
      <c r="T86" s="23"/>
      <c r="U86" s="23"/>
    </row>
    <row r="87" spans="2:21" s="6" customFormat="1" ht="11.25" customHeight="1">
      <c r="B87" s="22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4"/>
      <c r="T87" s="23"/>
      <c r="U87" s="23"/>
    </row>
    <row r="88" spans="2:47" s="6" customFormat="1" ht="30" customHeight="1">
      <c r="B88" s="22"/>
      <c r="C88" s="66" t="s">
        <v>112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198">
        <f>ROUNDUP($N$131,2)</f>
        <v>0</v>
      </c>
      <c r="O88" s="183"/>
      <c r="P88" s="183"/>
      <c r="Q88" s="183"/>
      <c r="R88" s="24"/>
      <c r="T88" s="23"/>
      <c r="U88" s="23"/>
      <c r="AU88" s="6" t="s">
        <v>113</v>
      </c>
    </row>
    <row r="89" spans="2:21" s="71" customFormat="1" ht="25.5" customHeight="1">
      <c r="B89" s="103"/>
      <c r="C89" s="104"/>
      <c r="D89" s="104" t="s">
        <v>297</v>
      </c>
      <c r="E89" s="104"/>
      <c r="F89" s="104"/>
      <c r="G89" s="104"/>
      <c r="H89" s="104"/>
      <c r="I89" s="104"/>
      <c r="J89" s="104"/>
      <c r="K89" s="104"/>
      <c r="L89" s="104"/>
      <c r="M89" s="104"/>
      <c r="N89" s="210">
        <f>ROUNDUP($N$132,2)</f>
        <v>0</v>
      </c>
      <c r="O89" s="211"/>
      <c r="P89" s="211"/>
      <c r="Q89" s="211"/>
      <c r="R89" s="105"/>
      <c r="T89" s="104"/>
      <c r="U89" s="104"/>
    </row>
    <row r="90" spans="2:21" s="106" customFormat="1" ht="21" customHeight="1">
      <c r="B90" s="107"/>
      <c r="C90" s="84"/>
      <c r="D90" s="84" t="s">
        <v>298</v>
      </c>
      <c r="E90" s="84"/>
      <c r="F90" s="84"/>
      <c r="G90" s="84"/>
      <c r="H90" s="84"/>
      <c r="I90" s="84"/>
      <c r="J90" s="84"/>
      <c r="K90" s="84"/>
      <c r="L90" s="84"/>
      <c r="M90" s="84"/>
      <c r="N90" s="196">
        <f>ROUNDUP($N$133,2)</f>
        <v>0</v>
      </c>
      <c r="O90" s="212"/>
      <c r="P90" s="212"/>
      <c r="Q90" s="212"/>
      <c r="R90" s="108"/>
      <c r="T90" s="84"/>
      <c r="U90" s="84"/>
    </row>
    <row r="91" spans="2:21" s="106" customFormat="1" ht="21" customHeight="1">
      <c r="B91" s="107"/>
      <c r="C91" s="84"/>
      <c r="D91" s="84" t="s">
        <v>299</v>
      </c>
      <c r="E91" s="84"/>
      <c r="F91" s="84"/>
      <c r="G91" s="84"/>
      <c r="H91" s="84"/>
      <c r="I91" s="84"/>
      <c r="J91" s="84"/>
      <c r="K91" s="84"/>
      <c r="L91" s="84"/>
      <c r="M91" s="84"/>
      <c r="N91" s="196">
        <f>ROUNDUP($N$144,2)</f>
        <v>0</v>
      </c>
      <c r="O91" s="212"/>
      <c r="P91" s="212"/>
      <c r="Q91" s="212"/>
      <c r="R91" s="108"/>
      <c r="T91" s="84"/>
      <c r="U91" s="84"/>
    </row>
    <row r="92" spans="2:21" s="106" customFormat="1" ht="21" customHeight="1">
      <c r="B92" s="107"/>
      <c r="C92" s="84"/>
      <c r="D92" s="84" t="s">
        <v>300</v>
      </c>
      <c r="E92" s="84"/>
      <c r="F92" s="84"/>
      <c r="G92" s="84"/>
      <c r="H92" s="84"/>
      <c r="I92" s="84"/>
      <c r="J92" s="84"/>
      <c r="K92" s="84"/>
      <c r="L92" s="84"/>
      <c r="M92" s="84"/>
      <c r="N92" s="196">
        <f>ROUNDUP($N$147,2)</f>
        <v>0</v>
      </c>
      <c r="O92" s="212"/>
      <c r="P92" s="212"/>
      <c r="Q92" s="212"/>
      <c r="R92" s="108"/>
      <c r="T92" s="84"/>
      <c r="U92" s="84"/>
    </row>
    <row r="93" spans="2:21" s="106" customFormat="1" ht="21" customHeight="1">
      <c r="B93" s="107"/>
      <c r="C93" s="84"/>
      <c r="D93" s="84" t="s">
        <v>301</v>
      </c>
      <c r="E93" s="84"/>
      <c r="F93" s="84"/>
      <c r="G93" s="84"/>
      <c r="H93" s="84"/>
      <c r="I93" s="84"/>
      <c r="J93" s="84"/>
      <c r="K93" s="84"/>
      <c r="L93" s="84"/>
      <c r="M93" s="84"/>
      <c r="N93" s="196">
        <f>ROUNDUP($N$158,2)</f>
        <v>0</v>
      </c>
      <c r="O93" s="212"/>
      <c r="P93" s="212"/>
      <c r="Q93" s="212"/>
      <c r="R93" s="108"/>
      <c r="T93" s="84"/>
      <c r="U93" s="84"/>
    </row>
    <row r="94" spans="2:21" s="106" customFormat="1" ht="15.75" customHeight="1">
      <c r="B94" s="107"/>
      <c r="C94" s="84"/>
      <c r="D94" s="84" t="s">
        <v>302</v>
      </c>
      <c r="E94" s="84"/>
      <c r="F94" s="84"/>
      <c r="G94" s="84"/>
      <c r="H94" s="84"/>
      <c r="I94" s="84"/>
      <c r="J94" s="84"/>
      <c r="K94" s="84"/>
      <c r="L94" s="84"/>
      <c r="M94" s="84"/>
      <c r="N94" s="196">
        <f>ROUNDUP($N$186,2)</f>
        <v>0</v>
      </c>
      <c r="O94" s="212"/>
      <c r="P94" s="212"/>
      <c r="Q94" s="212"/>
      <c r="R94" s="108"/>
      <c r="T94" s="84"/>
      <c r="U94" s="84"/>
    </row>
    <row r="95" spans="2:21" s="71" customFormat="1" ht="25.5" customHeight="1">
      <c r="B95" s="103"/>
      <c r="C95" s="104"/>
      <c r="D95" s="104" t="s">
        <v>114</v>
      </c>
      <c r="E95" s="104"/>
      <c r="F95" s="104"/>
      <c r="G95" s="104"/>
      <c r="H95" s="104"/>
      <c r="I95" s="104"/>
      <c r="J95" s="104"/>
      <c r="K95" s="104"/>
      <c r="L95" s="104"/>
      <c r="M95" s="104"/>
      <c r="N95" s="210">
        <f>ROUNDUP($N$191,2)</f>
        <v>0</v>
      </c>
      <c r="O95" s="211"/>
      <c r="P95" s="211"/>
      <c r="Q95" s="211"/>
      <c r="R95" s="105"/>
      <c r="T95" s="104"/>
      <c r="U95" s="104"/>
    </row>
    <row r="96" spans="2:21" s="106" customFormat="1" ht="21" customHeight="1">
      <c r="B96" s="107"/>
      <c r="C96" s="84"/>
      <c r="D96" s="84" t="s">
        <v>303</v>
      </c>
      <c r="E96" s="84"/>
      <c r="F96" s="84"/>
      <c r="G96" s="84"/>
      <c r="H96" s="84"/>
      <c r="I96" s="84"/>
      <c r="J96" s="84"/>
      <c r="K96" s="84"/>
      <c r="L96" s="84"/>
      <c r="M96" s="84"/>
      <c r="N96" s="196">
        <f>ROUNDUP($N$192,2)</f>
        <v>0</v>
      </c>
      <c r="O96" s="212"/>
      <c r="P96" s="212"/>
      <c r="Q96" s="212"/>
      <c r="R96" s="108"/>
      <c r="T96" s="84"/>
      <c r="U96" s="84"/>
    </row>
    <row r="97" spans="2:21" s="106" customFormat="1" ht="21" customHeight="1">
      <c r="B97" s="107"/>
      <c r="C97" s="84"/>
      <c r="D97" s="84" t="s">
        <v>304</v>
      </c>
      <c r="E97" s="84"/>
      <c r="F97" s="84"/>
      <c r="G97" s="84"/>
      <c r="H97" s="84"/>
      <c r="I97" s="84"/>
      <c r="J97" s="84"/>
      <c r="K97" s="84"/>
      <c r="L97" s="84"/>
      <c r="M97" s="84"/>
      <c r="N97" s="196">
        <f>ROUNDUP($N$197,2)</f>
        <v>0</v>
      </c>
      <c r="O97" s="212"/>
      <c r="P97" s="212"/>
      <c r="Q97" s="212"/>
      <c r="R97" s="108"/>
      <c r="T97" s="84"/>
      <c r="U97" s="84"/>
    </row>
    <row r="98" spans="2:21" s="106" customFormat="1" ht="21" customHeight="1">
      <c r="B98" s="107"/>
      <c r="C98" s="84"/>
      <c r="D98" s="84" t="s">
        <v>305</v>
      </c>
      <c r="E98" s="84"/>
      <c r="F98" s="84"/>
      <c r="G98" s="84"/>
      <c r="H98" s="84"/>
      <c r="I98" s="84"/>
      <c r="J98" s="84"/>
      <c r="K98" s="84"/>
      <c r="L98" s="84"/>
      <c r="M98" s="84"/>
      <c r="N98" s="196">
        <f>ROUNDUP($N$203,2)</f>
        <v>0</v>
      </c>
      <c r="O98" s="212"/>
      <c r="P98" s="212"/>
      <c r="Q98" s="212"/>
      <c r="R98" s="108"/>
      <c r="T98" s="84"/>
      <c r="U98" s="84"/>
    </row>
    <row r="99" spans="2:21" s="106" customFormat="1" ht="21" customHeight="1">
      <c r="B99" s="107"/>
      <c r="C99" s="84"/>
      <c r="D99" s="84" t="s">
        <v>306</v>
      </c>
      <c r="E99" s="84"/>
      <c r="F99" s="84"/>
      <c r="G99" s="84"/>
      <c r="H99" s="84"/>
      <c r="I99" s="84"/>
      <c r="J99" s="84"/>
      <c r="K99" s="84"/>
      <c r="L99" s="84"/>
      <c r="M99" s="84"/>
      <c r="N99" s="196">
        <f>ROUNDUP($N$219,2)</f>
        <v>0</v>
      </c>
      <c r="O99" s="212"/>
      <c r="P99" s="212"/>
      <c r="Q99" s="212"/>
      <c r="R99" s="108"/>
      <c r="T99" s="84"/>
      <c r="U99" s="84"/>
    </row>
    <row r="100" spans="2:21" s="106" customFormat="1" ht="21" customHeight="1">
      <c r="B100" s="107"/>
      <c r="C100" s="84"/>
      <c r="D100" s="84" t="s">
        <v>307</v>
      </c>
      <c r="E100" s="84"/>
      <c r="F100" s="84"/>
      <c r="G100" s="84"/>
      <c r="H100" s="84"/>
      <c r="I100" s="84"/>
      <c r="J100" s="84"/>
      <c r="K100" s="84"/>
      <c r="L100" s="84"/>
      <c r="M100" s="84"/>
      <c r="N100" s="196">
        <f>ROUNDUP($N$235,2)</f>
        <v>0</v>
      </c>
      <c r="O100" s="212"/>
      <c r="P100" s="212"/>
      <c r="Q100" s="212"/>
      <c r="R100" s="108"/>
      <c r="T100" s="84"/>
      <c r="U100" s="84"/>
    </row>
    <row r="101" spans="2:21" s="106" customFormat="1" ht="21" customHeight="1">
      <c r="B101" s="107"/>
      <c r="C101" s="84"/>
      <c r="D101" s="84" t="s">
        <v>308</v>
      </c>
      <c r="E101" s="84"/>
      <c r="F101" s="84"/>
      <c r="G101" s="84"/>
      <c r="H101" s="84"/>
      <c r="I101" s="84"/>
      <c r="J101" s="84"/>
      <c r="K101" s="84"/>
      <c r="L101" s="84"/>
      <c r="M101" s="84"/>
      <c r="N101" s="196">
        <f>ROUNDUP($N$248,2)</f>
        <v>0</v>
      </c>
      <c r="O101" s="212"/>
      <c r="P101" s="212"/>
      <c r="Q101" s="212"/>
      <c r="R101" s="108"/>
      <c r="T101" s="84"/>
      <c r="U101" s="84"/>
    </row>
    <row r="102" spans="2:21" s="106" customFormat="1" ht="21" customHeight="1">
      <c r="B102" s="107"/>
      <c r="C102" s="84"/>
      <c r="D102" s="84" t="s">
        <v>309</v>
      </c>
      <c r="E102" s="84"/>
      <c r="F102" s="84"/>
      <c r="G102" s="84"/>
      <c r="H102" s="84"/>
      <c r="I102" s="84"/>
      <c r="J102" s="84"/>
      <c r="K102" s="84"/>
      <c r="L102" s="84"/>
      <c r="M102" s="84"/>
      <c r="N102" s="196">
        <f>ROUNDUP($N$269,2)</f>
        <v>0</v>
      </c>
      <c r="O102" s="212"/>
      <c r="P102" s="212"/>
      <c r="Q102" s="212"/>
      <c r="R102" s="108"/>
      <c r="T102" s="84"/>
      <c r="U102" s="84"/>
    </row>
    <row r="103" spans="2:21" s="106" customFormat="1" ht="21" customHeight="1">
      <c r="B103" s="107"/>
      <c r="C103" s="84"/>
      <c r="D103" s="84" t="s">
        <v>310</v>
      </c>
      <c r="E103" s="84"/>
      <c r="F103" s="84"/>
      <c r="G103" s="84"/>
      <c r="H103" s="84"/>
      <c r="I103" s="84"/>
      <c r="J103" s="84"/>
      <c r="K103" s="84"/>
      <c r="L103" s="84"/>
      <c r="M103" s="84"/>
      <c r="N103" s="196">
        <f>ROUNDUP($N$273,2)</f>
        <v>0</v>
      </c>
      <c r="O103" s="212"/>
      <c r="P103" s="212"/>
      <c r="Q103" s="212"/>
      <c r="R103" s="108"/>
      <c r="T103" s="84"/>
      <c r="U103" s="84"/>
    </row>
    <row r="104" spans="2:21" s="71" customFormat="1" ht="22.5" customHeight="1">
      <c r="B104" s="103"/>
      <c r="C104" s="104"/>
      <c r="D104" s="104" t="s">
        <v>119</v>
      </c>
      <c r="E104" s="104"/>
      <c r="F104" s="104"/>
      <c r="G104" s="104"/>
      <c r="H104" s="104"/>
      <c r="I104" s="104"/>
      <c r="J104" s="104"/>
      <c r="K104" s="104"/>
      <c r="L104" s="104"/>
      <c r="M104" s="104"/>
      <c r="N104" s="213">
        <f>$N$280</f>
        <v>0</v>
      </c>
      <c r="O104" s="211"/>
      <c r="P104" s="211"/>
      <c r="Q104" s="211"/>
      <c r="R104" s="105"/>
      <c r="T104" s="104"/>
      <c r="U104" s="104"/>
    </row>
    <row r="105" spans="2:21" s="6" customFormat="1" ht="22.5" customHeight="1">
      <c r="B105" s="22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4"/>
      <c r="T105" s="23"/>
      <c r="U105" s="23"/>
    </row>
    <row r="106" spans="2:21" s="6" customFormat="1" ht="30" customHeight="1">
      <c r="B106" s="22"/>
      <c r="C106" s="66" t="s">
        <v>120</v>
      </c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198">
        <f>ROUNDUP($N$107+$N$108+$N$109+$N$110+$N$111+$N$112,2)</f>
        <v>0</v>
      </c>
      <c r="O106" s="183"/>
      <c r="P106" s="183"/>
      <c r="Q106" s="183"/>
      <c r="R106" s="24"/>
      <c r="T106" s="109"/>
      <c r="U106" s="110" t="s">
        <v>37</v>
      </c>
    </row>
    <row r="107" spans="2:62" s="6" customFormat="1" ht="18.75" customHeight="1">
      <c r="B107" s="22"/>
      <c r="C107" s="23"/>
      <c r="D107" s="197" t="s">
        <v>121</v>
      </c>
      <c r="E107" s="183"/>
      <c r="F107" s="183"/>
      <c r="G107" s="183"/>
      <c r="H107" s="183"/>
      <c r="I107" s="23"/>
      <c r="J107" s="23"/>
      <c r="K107" s="23"/>
      <c r="L107" s="23"/>
      <c r="M107" s="23"/>
      <c r="N107" s="195">
        <f>ROUNDUP($N$88*$T$107,2)</f>
        <v>0</v>
      </c>
      <c r="O107" s="183"/>
      <c r="P107" s="183"/>
      <c r="Q107" s="183"/>
      <c r="R107" s="24"/>
      <c r="T107" s="111"/>
      <c r="U107" s="112" t="s">
        <v>38</v>
      </c>
      <c r="AY107" s="6" t="s">
        <v>122</v>
      </c>
      <c r="BE107" s="88">
        <f>IF($U$107="základní",$N$107,0)</f>
        <v>0</v>
      </c>
      <c r="BF107" s="88">
        <f>IF($U$107="snížená",$N$107,0)</f>
        <v>0</v>
      </c>
      <c r="BG107" s="88">
        <f>IF($U$107="zákl. přenesená",$N$107,0)</f>
        <v>0</v>
      </c>
      <c r="BH107" s="88">
        <f>IF($U$107="sníž. přenesená",$N$107,0)</f>
        <v>0</v>
      </c>
      <c r="BI107" s="88">
        <f>IF($U$107="nulová",$N$107,0)</f>
        <v>0</v>
      </c>
      <c r="BJ107" s="6" t="s">
        <v>17</v>
      </c>
    </row>
    <row r="108" spans="2:62" s="6" customFormat="1" ht="18.75" customHeight="1">
      <c r="B108" s="22"/>
      <c r="C108" s="23"/>
      <c r="D108" s="197" t="s">
        <v>123</v>
      </c>
      <c r="E108" s="183"/>
      <c r="F108" s="183"/>
      <c r="G108" s="183"/>
      <c r="H108" s="183"/>
      <c r="I108" s="23"/>
      <c r="J108" s="23"/>
      <c r="K108" s="23"/>
      <c r="L108" s="23"/>
      <c r="M108" s="23"/>
      <c r="N108" s="195">
        <f>ROUNDUP($N$88*$T$108,2)</f>
        <v>0</v>
      </c>
      <c r="O108" s="183"/>
      <c r="P108" s="183"/>
      <c r="Q108" s="183"/>
      <c r="R108" s="24"/>
      <c r="T108" s="111"/>
      <c r="U108" s="112" t="s">
        <v>38</v>
      </c>
      <c r="AY108" s="6" t="s">
        <v>122</v>
      </c>
      <c r="BE108" s="88">
        <f>IF($U$108="základní",$N$108,0)</f>
        <v>0</v>
      </c>
      <c r="BF108" s="88">
        <f>IF($U$108="snížená",$N$108,0)</f>
        <v>0</v>
      </c>
      <c r="BG108" s="88">
        <f>IF($U$108="zákl. přenesená",$N$108,0)</f>
        <v>0</v>
      </c>
      <c r="BH108" s="88">
        <f>IF($U$108="sníž. přenesená",$N$108,0)</f>
        <v>0</v>
      </c>
      <c r="BI108" s="88">
        <f>IF($U$108="nulová",$N$108,0)</f>
        <v>0</v>
      </c>
      <c r="BJ108" s="6" t="s">
        <v>17</v>
      </c>
    </row>
    <row r="109" spans="2:62" s="6" customFormat="1" ht="18.75" customHeight="1">
      <c r="B109" s="22"/>
      <c r="C109" s="23"/>
      <c r="D109" s="197" t="s">
        <v>124</v>
      </c>
      <c r="E109" s="183"/>
      <c r="F109" s="183"/>
      <c r="G109" s="183"/>
      <c r="H109" s="183"/>
      <c r="I109" s="23"/>
      <c r="J109" s="23"/>
      <c r="K109" s="23"/>
      <c r="L109" s="23"/>
      <c r="M109" s="23"/>
      <c r="N109" s="195">
        <f>ROUNDUP($N$88*$T$109,2)</f>
        <v>0</v>
      </c>
      <c r="O109" s="183"/>
      <c r="P109" s="183"/>
      <c r="Q109" s="183"/>
      <c r="R109" s="24"/>
      <c r="T109" s="111"/>
      <c r="U109" s="112" t="s">
        <v>38</v>
      </c>
      <c r="AY109" s="6" t="s">
        <v>122</v>
      </c>
      <c r="BE109" s="88">
        <f>IF($U$109="základní",$N$109,0)</f>
        <v>0</v>
      </c>
      <c r="BF109" s="88">
        <f>IF($U$109="snížená",$N$109,0)</f>
        <v>0</v>
      </c>
      <c r="BG109" s="88">
        <f>IF($U$109="zákl. přenesená",$N$109,0)</f>
        <v>0</v>
      </c>
      <c r="BH109" s="88">
        <f>IF($U$109="sníž. přenesená",$N$109,0)</f>
        <v>0</v>
      </c>
      <c r="BI109" s="88">
        <f>IF($U$109="nulová",$N$109,0)</f>
        <v>0</v>
      </c>
      <c r="BJ109" s="6" t="s">
        <v>17</v>
      </c>
    </row>
    <row r="110" spans="2:62" s="6" customFormat="1" ht="18.75" customHeight="1">
      <c r="B110" s="22"/>
      <c r="C110" s="23"/>
      <c r="D110" s="197" t="s">
        <v>125</v>
      </c>
      <c r="E110" s="183"/>
      <c r="F110" s="183"/>
      <c r="G110" s="183"/>
      <c r="H110" s="183"/>
      <c r="I110" s="23"/>
      <c r="J110" s="23"/>
      <c r="K110" s="23"/>
      <c r="L110" s="23"/>
      <c r="M110" s="23"/>
      <c r="N110" s="195">
        <f>ROUNDUP($N$88*$T$110,2)</f>
        <v>0</v>
      </c>
      <c r="O110" s="183"/>
      <c r="P110" s="183"/>
      <c r="Q110" s="183"/>
      <c r="R110" s="24"/>
      <c r="T110" s="111"/>
      <c r="U110" s="112" t="s">
        <v>38</v>
      </c>
      <c r="AY110" s="6" t="s">
        <v>122</v>
      </c>
      <c r="BE110" s="88">
        <f>IF($U$110="základní",$N$110,0)</f>
        <v>0</v>
      </c>
      <c r="BF110" s="88">
        <f>IF($U$110="snížená",$N$110,0)</f>
        <v>0</v>
      </c>
      <c r="BG110" s="88">
        <f>IF($U$110="zákl. přenesená",$N$110,0)</f>
        <v>0</v>
      </c>
      <c r="BH110" s="88">
        <f>IF($U$110="sníž. přenesená",$N$110,0)</f>
        <v>0</v>
      </c>
      <c r="BI110" s="88">
        <f>IF($U$110="nulová",$N$110,0)</f>
        <v>0</v>
      </c>
      <c r="BJ110" s="6" t="s">
        <v>17</v>
      </c>
    </row>
    <row r="111" spans="2:62" s="6" customFormat="1" ht="18.75" customHeight="1">
      <c r="B111" s="22"/>
      <c r="C111" s="23"/>
      <c r="D111" s="197" t="s">
        <v>126</v>
      </c>
      <c r="E111" s="183"/>
      <c r="F111" s="183"/>
      <c r="G111" s="183"/>
      <c r="H111" s="183"/>
      <c r="I111" s="23"/>
      <c r="J111" s="23"/>
      <c r="K111" s="23"/>
      <c r="L111" s="23"/>
      <c r="M111" s="23"/>
      <c r="N111" s="195">
        <f>ROUNDUP($N$88*$T$111,2)</f>
        <v>0</v>
      </c>
      <c r="O111" s="183"/>
      <c r="P111" s="183"/>
      <c r="Q111" s="183"/>
      <c r="R111" s="24"/>
      <c r="T111" s="111"/>
      <c r="U111" s="112" t="s">
        <v>38</v>
      </c>
      <c r="AY111" s="6" t="s">
        <v>122</v>
      </c>
      <c r="BE111" s="88">
        <f>IF($U$111="základní",$N$111,0)</f>
        <v>0</v>
      </c>
      <c r="BF111" s="88">
        <f>IF($U$111="snížená",$N$111,0)</f>
        <v>0</v>
      </c>
      <c r="BG111" s="88">
        <f>IF($U$111="zákl. přenesená",$N$111,0)</f>
        <v>0</v>
      </c>
      <c r="BH111" s="88">
        <f>IF($U$111="sníž. přenesená",$N$111,0)</f>
        <v>0</v>
      </c>
      <c r="BI111" s="88">
        <f>IF($U$111="nulová",$N$111,0)</f>
        <v>0</v>
      </c>
      <c r="BJ111" s="6" t="s">
        <v>17</v>
      </c>
    </row>
    <row r="112" spans="2:62" s="6" customFormat="1" ht="18.75" customHeight="1">
      <c r="B112" s="22"/>
      <c r="C112" s="23"/>
      <c r="D112" s="84" t="s">
        <v>127</v>
      </c>
      <c r="E112" s="23"/>
      <c r="F112" s="23"/>
      <c r="G112" s="23"/>
      <c r="H112" s="23"/>
      <c r="I112" s="23"/>
      <c r="J112" s="23"/>
      <c r="K112" s="23"/>
      <c r="L112" s="23"/>
      <c r="M112" s="23"/>
      <c r="N112" s="195">
        <f>ROUNDUP($N$88*$T$112,2)</f>
        <v>0</v>
      </c>
      <c r="O112" s="183"/>
      <c r="P112" s="183"/>
      <c r="Q112" s="183"/>
      <c r="R112" s="24"/>
      <c r="T112" s="113"/>
      <c r="U112" s="114" t="s">
        <v>38</v>
      </c>
      <c r="AY112" s="6" t="s">
        <v>128</v>
      </c>
      <c r="BE112" s="88">
        <f>IF($U$112="základní",$N$112,0)</f>
        <v>0</v>
      </c>
      <c r="BF112" s="88">
        <f>IF($U$112="snížená",$N$112,0)</f>
        <v>0</v>
      </c>
      <c r="BG112" s="88">
        <f>IF($U$112="zákl. přenesená",$N$112,0)</f>
        <v>0</v>
      </c>
      <c r="BH112" s="88">
        <f>IF($U$112="sníž. přenesená",$N$112,0)</f>
        <v>0</v>
      </c>
      <c r="BI112" s="88">
        <f>IF($U$112="nulová",$N$112,0)</f>
        <v>0</v>
      </c>
      <c r="BJ112" s="6" t="s">
        <v>17</v>
      </c>
    </row>
    <row r="113" spans="2:21" s="6" customFormat="1" ht="14.25" customHeight="1">
      <c r="B113" s="22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4"/>
      <c r="T113" s="23"/>
      <c r="U113" s="23"/>
    </row>
    <row r="114" spans="2:21" s="6" customFormat="1" ht="30" customHeight="1">
      <c r="B114" s="22"/>
      <c r="C114" s="95" t="s">
        <v>101</v>
      </c>
      <c r="D114" s="32"/>
      <c r="E114" s="32"/>
      <c r="F114" s="32"/>
      <c r="G114" s="32"/>
      <c r="H114" s="32"/>
      <c r="I114" s="32"/>
      <c r="J114" s="32"/>
      <c r="K114" s="32"/>
      <c r="L114" s="200">
        <f>ROUNDUP(SUM($N$88+$N$106),2)</f>
        <v>0</v>
      </c>
      <c r="M114" s="201"/>
      <c r="N114" s="201"/>
      <c r="O114" s="201"/>
      <c r="P114" s="201"/>
      <c r="Q114" s="201"/>
      <c r="R114" s="24"/>
      <c r="T114" s="23"/>
      <c r="U114" s="23"/>
    </row>
    <row r="115" spans="2:21" s="6" customFormat="1" ht="7.5" customHeight="1">
      <c r="B115" s="45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7"/>
      <c r="T115" s="23"/>
      <c r="U115" s="23"/>
    </row>
    <row r="119" spans="2:18" s="6" customFormat="1" ht="7.5" customHeight="1">
      <c r="B119" s="48"/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50"/>
    </row>
    <row r="120" spans="2:18" s="6" customFormat="1" ht="37.5" customHeight="1">
      <c r="B120" s="22"/>
      <c r="C120" s="166" t="s">
        <v>129</v>
      </c>
      <c r="D120" s="183"/>
      <c r="E120" s="183"/>
      <c r="F120" s="183"/>
      <c r="G120" s="183"/>
      <c r="H120" s="183"/>
      <c r="I120" s="183"/>
      <c r="J120" s="183"/>
      <c r="K120" s="183"/>
      <c r="L120" s="183"/>
      <c r="M120" s="183"/>
      <c r="N120" s="183"/>
      <c r="O120" s="183"/>
      <c r="P120" s="183"/>
      <c r="Q120" s="183"/>
      <c r="R120" s="24"/>
    </row>
    <row r="121" spans="2:18" s="6" customFormat="1" ht="7.5" customHeight="1">
      <c r="B121" s="22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4"/>
    </row>
    <row r="122" spans="2:18" s="6" customFormat="1" ht="15" customHeight="1">
      <c r="B122" s="22"/>
      <c r="C122" s="16" t="s">
        <v>14</v>
      </c>
      <c r="D122" s="23"/>
      <c r="E122" s="23"/>
      <c r="F122" s="203" t="str">
        <f>$F$6</f>
        <v>0251-15 - Podkrušnohorská nemocnice následné péče, ul.Podkrušnohorská 638, litvínov - stavební úpravy v 1.N.P.</v>
      </c>
      <c r="G122" s="183"/>
      <c r="H122" s="183"/>
      <c r="I122" s="183"/>
      <c r="J122" s="183"/>
      <c r="K122" s="183"/>
      <c r="L122" s="183"/>
      <c r="M122" s="183"/>
      <c r="N122" s="183"/>
      <c r="O122" s="183"/>
      <c r="P122" s="183"/>
      <c r="Q122" s="23"/>
      <c r="R122" s="24"/>
    </row>
    <row r="123" spans="2:18" s="6" customFormat="1" ht="15" customHeight="1">
      <c r="B123" s="22"/>
      <c r="C123" s="15" t="s">
        <v>105</v>
      </c>
      <c r="D123" s="23"/>
      <c r="E123" s="23"/>
      <c r="F123" s="171" t="str">
        <f>$F$7</f>
        <v>stavební - Stavební část</v>
      </c>
      <c r="G123" s="183"/>
      <c r="H123" s="183"/>
      <c r="I123" s="183"/>
      <c r="J123" s="183"/>
      <c r="K123" s="183"/>
      <c r="L123" s="183"/>
      <c r="M123" s="183"/>
      <c r="N123" s="183"/>
      <c r="O123" s="183"/>
      <c r="P123" s="183"/>
      <c r="Q123" s="23"/>
      <c r="R123" s="24"/>
    </row>
    <row r="124" spans="2:18" s="6" customFormat="1" ht="7.5" customHeight="1">
      <c r="B124" s="22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4"/>
    </row>
    <row r="125" spans="2:18" s="6" customFormat="1" ht="18.75" customHeight="1">
      <c r="B125" s="22"/>
      <c r="C125" s="16" t="s">
        <v>18</v>
      </c>
      <c r="D125" s="23"/>
      <c r="E125" s="23"/>
      <c r="F125" s="17" t="str">
        <f>$F$9</f>
        <v> </v>
      </c>
      <c r="G125" s="23"/>
      <c r="H125" s="23"/>
      <c r="I125" s="23"/>
      <c r="J125" s="23"/>
      <c r="K125" s="16" t="s">
        <v>20</v>
      </c>
      <c r="L125" s="23"/>
      <c r="M125" s="208" t="str">
        <f>IF($O$9="","",$O$9)</f>
        <v>13.11.2015</v>
      </c>
      <c r="N125" s="183"/>
      <c r="O125" s="183"/>
      <c r="P125" s="183"/>
      <c r="Q125" s="23"/>
      <c r="R125" s="24"/>
    </row>
    <row r="126" spans="2:18" s="6" customFormat="1" ht="7.5" customHeight="1">
      <c r="B126" s="22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4"/>
    </row>
    <row r="127" spans="2:18" s="6" customFormat="1" ht="15.75" customHeight="1">
      <c r="B127" s="22"/>
      <c r="C127" s="16" t="s">
        <v>24</v>
      </c>
      <c r="D127" s="23"/>
      <c r="E127" s="23"/>
      <c r="F127" s="17" t="str">
        <f>$E$12</f>
        <v>KPlL s.r.o., ul.Žižkova 151, Litvínov</v>
      </c>
      <c r="G127" s="23"/>
      <c r="H127" s="23"/>
      <c r="I127" s="23"/>
      <c r="J127" s="23"/>
      <c r="K127" s="16" t="s">
        <v>30</v>
      </c>
      <c r="L127" s="23"/>
      <c r="M127" s="184" t="str">
        <f>$E$18</f>
        <v>VPH s.r.o.</v>
      </c>
      <c r="N127" s="183"/>
      <c r="O127" s="183"/>
      <c r="P127" s="183"/>
      <c r="Q127" s="183"/>
      <c r="R127" s="24"/>
    </row>
    <row r="128" spans="2:18" s="6" customFormat="1" ht="15" customHeight="1">
      <c r="B128" s="22"/>
      <c r="C128" s="16" t="s">
        <v>28</v>
      </c>
      <c r="D128" s="23"/>
      <c r="E128" s="23"/>
      <c r="F128" s="17" t="str">
        <f>IF($E$15="","",$E$15)</f>
        <v>Vyplň údaj</v>
      </c>
      <c r="G128" s="23"/>
      <c r="H128" s="23"/>
      <c r="I128" s="23"/>
      <c r="J128" s="23"/>
      <c r="K128" s="16" t="s">
        <v>33</v>
      </c>
      <c r="L128" s="23"/>
      <c r="M128" s="184" t="str">
        <f>$E$21</f>
        <v>ing.Žílová</v>
      </c>
      <c r="N128" s="183"/>
      <c r="O128" s="183"/>
      <c r="P128" s="183"/>
      <c r="Q128" s="183"/>
      <c r="R128" s="24"/>
    </row>
    <row r="129" spans="2:18" s="6" customFormat="1" ht="11.25" customHeight="1">
      <c r="B129" s="22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4"/>
    </row>
    <row r="130" spans="2:27" s="115" customFormat="1" ht="30" customHeight="1">
      <c r="B130" s="116"/>
      <c r="C130" s="117" t="s">
        <v>130</v>
      </c>
      <c r="D130" s="118" t="s">
        <v>131</v>
      </c>
      <c r="E130" s="118" t="s">
        <v>55</v>
      </c>
      <c r="F130" s="214" t="s">
        <v>132</v>
      </c>
      <c r="G130" s="215"/>
      <c r="H130" s="215"/>
      <c r="I130" s="215"/>
      <c r="J130" s="118" t="s">
        <v>133</v>
      </c>
      <c r="K130" s="118" t="s">
        <v>134</v>
      </c>
      <c r="L130" s="214" t="s">
        <v>135</v>
      </c>
      <c r="M130" s="215"/>
      <c r="N130" s="214" t="s">
        <v>136</v>
      </c>
      <c r="O130" s="215"/>
      <c r="P130" s="215"/>
      <c r="Q130" s="216"/>
      <c r="R130" s="119"/>
      <c r="T130" s="61" t="s">
        <v>137</v>
      </c>
      <c r="U130" s="62" t="s">
        <v>37</v>
      </c>
      <c r="V130" s="62" t="s">
        <v>138</v>
      </c>
      <c r="W130" s="62" t="s">
        <v>139</v>
      </c>
      <c r="X130" s="62" t="s">
        <v>140</v>
      </c>
      <c r="Y130" s="62" t="s">
        <v>141</v>
      </c>
      <c r="Z130" s="62" t="s">
        <v>142</v>
      </c>
      <c r="AA130" s="63" t="s">
        <v>143</v>
      </c>
    </row>
    <row r="131" spans="2:63" s="6" customFormat="1" ht="30" customHeight="1">
      <c r="B131" s="22"/>
      <c r="C131" s="66" t="s">
        <v>108</v>
      </c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23">
        <f>$BK$131</f>
        <v>0</v>
      </c>
      <c r="O131" s="183"/>
      <c r="P131" s="183"/>
      <c r="Q131" s="183"/>
      <c r="R131" s="24"/>
      <c r="T131" s="65"/>
      <c r="U131" s="37"/>
      <c r="V131" s="37"/>
      <c r="W131" s="120">
        <f>$W$132+$W$191+$W$280</f>
        <v>1113.924342</v>
      </c>
      <c r="X131" s="37"/>
      <c r="Y131" s="120">
        <f>$Y$132+$Y$191+$Y$280</f>
        <v>31.16460209</v>
      </c>
      <c r="Z131" s="37"/>
      <c r="AA131" s="121">
        <f>$AA$132+$AA$191+$AA$280</f>
        <v>55.714581100000004</v>
      </c>
      <c r="AT131" s="6" t="s">
        <v>72</v>
      </c>
      <c r="AU131" s="6" t="s">
        <v>113</v>
      </c>
      <c r="BK131" s="122">
        <f>$BK$132+$BK$191+$BK$280</f>
        <v>0</v>
      </c>
    </row>
    <row r="132" spans="2:63" s="123" customFormat="1" ht="37.5" customHeight="1">
      <c r="B132" s="124"/>
      <c r="C132" s="125"/>
      <c r="D132" s="126" t="s">
        <v>297</v>
      </c>
      <c r="E132" s="125"/>
      <c r="F132" s="125"/>
      <c r="G132" s="125"/>
      <c r="H132" s="125"/>
      <c r="I132" s="125"/>
      <c r="J132" s="125"/>
      <c r="K132" s="125"/>
      <c r="L132" s="125"/>
      <c r="M132" s="125"/>
      <c r="N132" s="213">
        <f>$BK$132</f>
        <v>0</v>
      </c>
      <c r="O132" s="224"/>
      <c r="P132" s="224"/>
      <c r="Q132" s="224"/>
      <c r="R132" s="127"/>
      <c r="T132" s="128"/>
      <c r="U132" s="125"/>
      <c r="V132" s="125"/>
      <c r="W132" s="129">
        <f>$W$133+$W$144+$W$147+$W$158</f>
        <v>556.835916</v>
      </c>
      <c r="X132" s="125"/>
      <c r="Y132" s="129">
        <f>$Y$133+$Y$144+$Y$147+$Y$158</f>
        <v>24.987664849999998</v>
      </c>
      <c r="Z132" s="125"/>
      <c r="AA132" s="130">
        <f>$AA$133+$AA$144+$AA$147+$AA$158</f>
        <v>47.166559</v>
      </c>
      <c r="AR132" s="131" t="s">
        <v>17</v>
      </c>
      <c r="AT132" s="131" t="s">
        <v>72</v>
      </c>
      <c r="AU132" s="131" t="s">
        <v>73</v>
      </c>
      <c r="AY132" s="131" t="s">
        <v>144</v>
      </c>
      <c r="BK132" s="132">
        <f>$BK$133+$BK$144+$BK$147+$BK$158</f>
        <v>0</v>
      </c>
    </row>
    <row r="133" spans="2:63" s="123" customFormat="1" ht="21" customHeight="1">
      <c r="B133" s="124"/>
      <c r="C133" s="125"/>
      <c r="D133" s="133" t="s">
        <v>298</v>
      </c>
      <c r="E133" s="125"/>
      <c r="F133" s="125"/>
      <c r="G133" s="125"/>
      <c r="H133" s="125"/>
      <c r="I133" s="125"/>
      <c r="J133" s="125"/>
      <c r="K133" s="125"/>
      <c r="L133" s="125"/>
      <c r="M133" s="125"/>
      <c r="N133" s="225">
        <f>$BK$133</f>
        <v>0</v>
      </c>
      <c r="O133" s="224"/>
      <c r="P133" s="224"/>
      <c r="Q133" s="224"/>
      <c r="R133" s="127"/>
      <c r="T133" s="128"/>
      <c r="U133" s="125"/>
      <c r="V133" s="125"/>
      <c r="W133" s="129">
        <f>SUM($W$134:$W$143)</f>
        <v>103.714425</v>
      </c>
      <c r="X133" s="125"/>
      <c r="Y133" s="129">
        <f>SUM($Y$134:$Y$143)</f>
        <v>13.322398019999998</v>
      </c>
      <c r="Z133" s="125"/>
      <c r="AA133" s="130">
        <f>SUM($AA$134:$AA$143)</f>
        <v>0</v>
      </c>
      <c r="AR133" s="131" t="s">
        <v>17</v>
      </c>
      <c r="AT133" s="131" t="s">
        <v>72</v>
      </c>
      <c r="AU133" s="131" t="s">
        <v>17</v>
      </c>
      <c r="AY133" s="131" t="s">
        <v>144</v>
      </c>
      <c r="BK133" s="132">
        <f>SUM($BK$134:$BK$143)</f>
        <v>0</v>
      </c>
    </row>
    <row r="134" spans="2:64" s="6" customFormat="1" ht="27" customHeight="1">
      <c r="B134" s="22"/>
      <c r="C134" s="134" t="s">
        <v>17</v>
      </c>
      <c r="D134" s="134" t="s">
        <v>145</v>
      </c>
      <c r="E134" s="135" t="s">
        <v>311</v>
      </c>
      <c r="F134" s="217" t="s">
        <v>312</v>
      </c>
      <c r="G134" s="218"/>
      <c r="H134" s="218"/>
      <c r="I134" s="218"/>
      <c r="J134" s="136" t="s">
        <v>313</v>
      </c>
      <c r="K134" s="137">
        <v>0.78</v>
      </c>
      <c r="L134" s="219">
        <v>0</v>
      </c>
      <c r="M134" s="218"/>
      <c r="N134" s="220">
        <f>ROUND($L$134*$K$134,2)</f>
        <v>0</v>
      </c>
      <c r="O134" s="218"/>
      <c r="P134" s="218"/>
      <c r="Q134" s="218"/>
      <c r="R134" s="24"/>
      <c r="T134" s="138"/>
      <c r="U134" s="30" t="s">
        <v>38</v>
      </c>
      <c r="V134" s="139">
        <v>4.794</v>
      </c>
      <c r="W134" s="139">
        <f>$V$134*$K$134</f>
        <v>3.7393199999999998</v>
      </c>
      <c r="X134" s="139">
        <v>1.7545</v>
      </c>
      <c r="Y134" s="139">
        <f>$X$134*$K$134</f>
        <v>1.3685100000000001</v>
      </c>
      <c r="Z134" s="139">
        <v>0</v>
      </c>
      <c r="AA134" s="140">
        <f>$Z$134*$K$134</f>
        <v>0</v>
      </c>
      <c r="AR134" s="6" t="s">
        <v>156</v>
      </c>
      <c r="AT134" s="6" t="s">
        <v>145</v>
      </c>
      <c r="AU134" s="6" t="s">
        <v>103</v>
      </c>
      <c r="AY134" s="6" t="s">
        <v>144</v>
      </c>
      <c r="BE134" s="88">
        <f>IF($U$134="základní",$N$134,0)</f>
        <v>0</v>
      </c>
      <c r="BF134" s="88">
        <f>IF($U$134="snížená",$N$134,0)</f>
        <v>0</v>
      </c>
      <c r="BG134" s="88">
        <f>IF($U$134="zákl. přenesená",$N$134,0)</f>
        <v>0</v>
      </c>
      <c r="BH134" s="88">
        <f>IF($U$134="sníž. přenesená",$N$134,0)</f>
        <v>0</v>
      </c>
      <c r="BI134" s="88">
        <f>IF($U$134="nulová",$N$134,0)</f>
        <v>0</v>
      </c>
      <c r="BJ134" s="6" t="s">
        <v>17</v>
      </c>
      <c r="BK134" s="88">
        <f>ROUND($L$134*$K$134,2)</f>
        <v>0</v>
      </c>
      <c r="BL134" s="6" t="s">
        <v>156</v>
      </c>
    </row>
    <row r="135" spans="2:51" s="6" customFormat="1" ht="15.75" customHeight="1">
      <c r="B135" s="146"/>
      <c r="C135" s="147"/>
      <c r="D135" s="147"/>
      <c r="E135" s="147"/>
      <c r="F135" s="226" t="s">
        <v>314</v>
      </c>
      <c r="G135" s="227"/>
      <c r="H135" s="227"/>
      <c r="I135" s="227"/>
      <c r="J135" s="147"/>
      <c r="K135" s="148">
        <v>0.78</v>
      </c>
      <c r="L135" s="147"/>
      <c r="M135" s="147"/>
      <c r="N135" s="147"/>
      <c r="O135" s="147"/>
      <c r="P135" s="147"/>
      <c r="Q135" s="147"/>
      <c r="R135" s="149"/>
      <c r="T135" s="150"/>
      <c r="U135" s="147"/>
      <c r="V135" s="147"/>
      <c r="W135" s="147"/>
      <c r="X135" s="147"/>
      <c r="Y135" s="147"/>
      <c r="Z135" s="147"/>
      <c r="AA135" s="151"/>
      <c r="AT135" s="152" t="s">
        <v>315</v>
      </c>
      <c r="AU135" s="152" t="s">
        <v>103</v>
      </c>
      <c r="AV135" s="152" t="s">
        <v>103</v>
      </c>
      <c r="AW135" s="152" t="s">
        <v>113</v>
      </c>
      <c r="AX135" s="152" t="s">
        <v>17</v>
      </c>
      <c r="AY135" s="152" t="s">
        <v>144</v>
      </c>
    </row>
    <row r="136" spans="2:64" s="6" customFormat="1" ht="27" customHeight="1">
      <c r="B136" s="22"/>
      <c r="C136" s="134" t="s">
        <v>103</v>
      </c>
      <c r="D136" s="134" t="s">
        <v>145</v>
      </c>
      <c r="E136" s="135" t="s">
        <v>316</v>
      </c>
      <c r="F136" s="217" t="s">
        <v>317</v>
      </c>
      <c r="G136" s="218"/>
      <c r="H136" s="218"/>
      <c r="I136" s="218"/>
      <c r="J136" s="136" t="s">
        <v>313</v>
      </c>
      <c r="K136" s="137">
        <v>2.79</v>
      </c>
      <c r="L136" s="219">
        <v>0</v>
      </c>
      <c r="M136" s="218"/>
      <c r="N136" s="220">
        <f>ROUND($L$136*$K$136,2)</f>
        <v>0</v>
      </c>
      <c r="O136" s="218"/>
      <c r="P136" s="218"/>
      <c r="Q136" s="218"/>
      <c r="R136" s="24"/>
      <c r="T136" s="138"/>
      <c r="U136" s="30" t="s">
        <v>38</v>
      </c>
      <c r="V136" s="139">
        <v>3.842</v>
      </c>
      <c r="W136" s="139">
        <f>$V$136*$K$136</f>
        <v>10.71918</v>
      </c>
      <c r="X136" s="139">
        <v>1.7545</v>
      </c>
      <c r="Y136" s="139">
        <f>$X$136*$K$136</f>
        <v>4.895055</v>
      </c>
      <c r="Z136" s="139">
        <v>0</v>
      </c>
      <c r="AA136" s="140">
        <f>$Z$136*$K$136</f>
        <v>0</v>
      </c>
      <c r="AR136" s="6" t="s">
        <v>156</v>
      </c>
      <c r="AT136" s="6" t="s">
        <v>145</v>
      </c>
      <c r="AU136" s="6" t="s">
        <v>103</v>
      </c>
      <c r="AY136" s="6" t="s">
        <v>144</v>
      </c>
      <c r="BE136" s="88">
        <f>IF($U$136="základní",$N$136,0)</f>
        <v>0</v>
      </c>
      <c r="BF136" s="88">
        <f>IF($U$136="snížená",$N$136,0)</f>
        <v>0</v>
      </c>
      <c r="BG136" s="88">
        <f>IF($U$136="zákl. přenesená",$N$136,0)</f>
        <v>0</v>
      </c>
      <c r="BH136" s="88">
        <f>IF($U$136="sníž. přenesená",$N$136,0)</f>
        <v>0</v>
      </c>
      <c r="BI136" s="88">
        <f>IF($U$136="nulová",$N$136,0)</f>
        <v>0</v>
      </c>
      <c r="BJ136" s="6" t="s">
        <v>17</v>
      </c>
      <c r="BK136" s="88">
        <f>ROUND($L$136*$K$136,2)</f>
        <v>0</v>
      </c>
      <c r="BL136" s="6" t="s">
        <v>156</v>
      </c>
    </row>
    <row r="137" spans="2:51" s="6" customFormat="1" ht="15.75" customHeight="1">
      <c r="B137" s="146"/>
      <c r="C137" s="147"/>
      <c r="D137" s="147"/>
      <c r="E137" s="147"/>
      <c r="F137" s="226" t="s">
        <v>318</v>
      </c>
      <c r="G137" s="227"/>
      <c r="H137" s="227"/>
      <c r="I137" s="227"/>
      <c r="J137" s="147"/>
      <c r="K137" s="148">
        <v>2.79</v>
      </c>
      <c r="L137" s="147"/>
      <c r="M137" s="147"/>
      <c r="N137" s="147"/>
      <c r="O137" s="147"/>
      <c r="P137" s="147"/>
      <c r="Q137" s="147"/>
      <c r="R137" s="149"/>
      <c r="T137" s="150"/>
      <c r="U137" s="147"/>
      <c r="V137" s="147"/>
      <c r="W137" s="147"/>
      <c r="X137" s="147"/>
      <c r="Y137" s="147"/>
      <c r="Z137" s="147"/>
      <c r="AA137" s="151"/>
      <c r="AT137" s="152" t="s">
        <v>315</v>
      </c>
      <c r="AU137" s="152" t="s">
        <v>103</v>
      </c>
      <c r="AV137" s="152" t="s">
        <v>103</v>
      </c>
      <c r="AW137" s="152" t="s">
        <v>113</v>
      </c>
      <c r="AX137" s="152" t="s">
        <v>17</v>
      </c>
      <c r="AY137" s="152" t="s">
        <v>144</v>
      </c>
    </row>
    <row r="138" spans="2:64" s="6" customFormat="1" ht="39" customHeight="1">
      <c r="B138" s="22"/>
      <c r="C138" s="134" t="s">
        <v>152</v>
      </c>
      <c r="D138" s="134" t="s">
        <v>145</v>
      </c>
      <c r="E138" s="135" t="s">
        <v>319</v>
      </c>
      <c r="F138" s="217" t="s">
        <v>320</v>
      </c>
      <c r="G138" s="218"/>
      <c r="H138" s="218"/>
      <c r="I138" s="218"/>
      <c r="J138" s="136" t="s">
        <v>155</v>
      </c>
      <c r="K138" s="137">
        <v>2</v>
      </c>
      <c r="L138" s="219">
        <v>0</v>
      </c>
      <c r="M138" s="218"/>
      <c r="N138" s="220">
        <f>ROUND($L$138*$K$138,2)</f>
        <v>0</v>
      </c>
      <c r="O138" s="218"/>
      <c r="P138" s="218"/>
      <c r="Q138" s="218"/>
      <c r="R138" s="24"/>
      <c r="T138" s="138"/>
      <c r="U138" s="30" t="s">
        <v>38</v>
      </c>
      <c r="V138" s="139">
        <v>0.196</v>
      </c>
      <c r="W138" s="139">
        <f>$V$138*$K$138</f>
        <v>0.392</v>
      </c>
      <c r="X138" s="139">
        <v>0.02684</v>
      </c>
      <c r="Y138" s="139">
        <f>$X$138*$K$138</f>
        <v>0.05368</v>
      </c>
      <c r="Z138" s="139">
        <v>0</v>
      </c>
      <c r="AA138" s="140">
        <f>$Z$138*$K$138</f>
        <v>0</v>
      </c>
      <c r="AR138" s="6" t="s">
        <v>156</v>
      </c>
      <c r="AT138" s="6" t="s">
        <v>145</v>
      </c>
      <c r="AU138" s="6" t="s">
        <v>103</v>
      </c>
      <c r="AY138" s="6" t="s">
        <v>144</v>
      </c>
      <c r="BE138" s="88">
        <f>IF($U$138="základní",$N$138,0)</f>
        <v>0</v>
      </c>
      <c r="BF138" s="88">
        <f>IF($U$138="snížená",$N$138,0)</f>
        <v>0</v>
      </c>
      <c r="BG138" s="88">
        <f>IF($U$138="zákl. přenesená",$N$138,0)</f>
        <v>0</v>
      </c>
      <c r="BH138" s="88">
        <f>IF($U$138="sníž. přenesená",$N$138,0)</f>
        <v>0</v>
      </c>
      <c r="BI138" s="88">
        <f>IF($U$138="nulová",$N$138,0)</f>
        <v>0</v>
      </c>
      <c r="BJ138" s="6" t="s">
        <v>17</v>
      </c>
      <c r="BK138" s="88">
        <f>ROUND($L$138*$K$138,2)</f>
        <v>0</v>
      </c>
      <c r="BL138" s="6" t="s">
        <v>156</v>
      </c>
    </row>
    <row r="139" spans="2:64" s="6" customFormat="1" ht="39" customHeight="1">
      <c r="B139" s="22"/>
      <c r="C139" s="134" t="s">
        <v>156</v>
      </c>
      <c r="D139" s="134" t="s">
        <v>145</v>
      </c>
      <c r="E139" s="135" t="s">
        <v>321</v>
      </c>
      <c r="F139" s="217" t="s">
        <v>322</v>
      </c>
      <c r="G139" s="218"/>
      <c r="H139" s="218"/>
      <c r="I139" s="218"/>
      <c r="J139" s="136" t="s">
        <v>155</v>
      </c>
      <c r="K139" s="137">
        <v>1</v>
      </c>
      <c r="L139" s="219">
        <v>0</v>
      </c>
      <c r="M139" s="218"/>
      <c r="N139" s="220">
        <f>ROUND($L$139*$K$139,2)</f>
        <v>0</v>
      </c>
      <c r="O139" s="218"/>
      <c r="P139" s="218"/>
      <c r="Q139" s="218"/>
      <c r="R139" s="24"/>
      <c r="T139" s="138"/>
      <c r="U139" s="30" t="s">
        <v>38</v>
      </c>
      <c r="V139" s="139">
        <v>0.196</v>
      </c>
      <c r="W139" s="139">
        <f>$V$139*$K$139</f>
        <v>0.196</v>
      </c>
      <c r="X139" s="139">
        <v>0.02684</v>
      </c>
      <c r="Y139" s="139">
        <f>$X$139*$K$139</f>
        <v>0.02684</v>
      </c>
      <c r="Z139" s="139">
        <v>0</v>
      </c>
      <c r="AA139" s="140">
        <f>$Z$139*$K$139</f>
        <v>0</v>
      </c>
      <c r="AR139" s="6" t="s">
        <v>156</v>
      </c>
      <c r="AT139" s="6" t="s">
        <v>145</v>
      </c>
      <c r="AU139" s="6" t="s">
        <v>103</v>
      </c>
      <c r="AY139" s="6" t="s">
        <v>144</v>
      </c>
      <c r="BE139" s="88">
        <f>IF($U$139="základní",$N$139,0)</f>
        <v>0</v>
      </c>
      <c r="BF139" s="88">
        <f>IF($U$139="snížená",$N$139,0)</f>
        <v>0</v>
      </c>
      <c r="BG139" s="88">
        <f>IF($U$139="zákl. přenesená",$N$139,0)</f>
        <v>0</v>
      </c>
      <c r="BH139" s="88">
        <f>IF($U$139="sníž. přenesená",$N$139,0)</f>
        <v>0</v>
      </c>
      <c r="BI139" s="88">
        <f>IF($U$139="nulová",$N$139,0)</f>
        <v>0</v>
      </c>
      <c r="BJ139" s="6" t="s">
        <v>17</v>
      </c>
      <c r="BK139" s="88">
        <f>ROUND($L$139*$K$139,2)</f>
        <v>0</v>
      </c>
      <c r="BL139" s="6" t="s">
        <v>156</v>
      </c>
    </row>
    <row r="140" spans="2:64" s="6" customFormat="1" ht="27" customHeight="1">
      <c r="B140" s="22"/>
      <c r="C140" s="134" t="s">
        <v>159</v>
      </c>
      <c r="D140" s="134" t="s">
        <v>145</v>
      </c>
      <c r="E140" s="135" t="s">
        <v>323</v>
      </c>
      <c r="F140" s="217" t="s">
        <v>324</v>
      </c>
      <c r="G140" s="218"/>
      <c r="H140" s="218"/>
      <c r="I140" s="218"/>
      <c r="J140" s="136" t="s">
        <v>185</v>
      </c>
      <c r="K140" s="137">
        <v>1.261</v>
      </c>
      <c r="L140" s="219">
        <v>0</v>
      </c>
      <c r="M140" s="218"/>
      <c r="N140" s="220">
        <f>ROUND($L$140*$K$140,2)</f>
        <v>0</v>
      </c>
      <c r="O140" s="218"/>
      <c r="P140" s="218"/>
      <c r="Q140" s="218"/>
      <c r="R140" s="24"/>
      <c r="T140" s="138"/>
      <c r="U140" s="30" t="s">
        <v>38</v>
      </c>
      <c r="V140" s="139">
        <v>36.9</v>
      </c>
      <c r="W140" s="139">
        <f>$V$140*$K$140</f>
        <v>46.530899999999995</v>
      </c>
      <c r="X140" s="139">
        <v>1.09</v>
      </c>
      <c r="Y140" s="139">
        <f>$X$140*$K$140</f>
        <v>1.37449</v>
      </c>
      <c r="Z140" s="139">
        <v>0</v>
      </c>
      <c r="AA140" s="140">
        <f>$Z$140*$K$140</f>
        <v>0</v>
      </c>
      <c r="AR140" s="6" t="s">
        <v>156</v>
      </c>
      <c r="AT140" s="6" t="s">
        <v>145</v>
      </c>
      <c r="AU140" s="6" t="s">
        <v>103</v>
      </c>
      <c r="AY140" s="6" t="s">
        <v>144</v>
      </c>
      <c r="BE140" s="88">
        <f>IF($U$140="základní",$N$140,0)</f>
        <v>0</v>
      </c>
      <c r="BF140" s="88">
        <f>IF($U$140="snížená",$N$140,0)</f>
        <v>0</v>
      </c>
      <c r="BG140" s="88">
        <f>IF($U$140="zákl. přenesená",$N$140,0)</f>
        <v>0</v>
      </c>
      <c r="BH140" s="88">
        <f>IF($U$140="sníž. přenesená",$N$140,0)</f>
        <v>0</v>
      </c>
      <c r="BI140" s="88">
        <f>IF($U$140="nulová",$N$140,0)</f>
        <v>0</v>
      </c>
      <c r="BJ140" s="6" t="s">
        <v>17</v>
      </c>
      <c r="BK140" s="88">
        <f>ROUND($L$140*$K$140,2)</f>
        <v>0</v>
      </c>
      <c r="BL140" s="6" t="s">
        <v>156</v>
      </c>
    </row>
    <row r="141" spans="2:51" s="6" customFormat="1" ht="15.75" customHeight="1">
      <c r="B141" s="146"/>
      <c r="C141" s="147"/>
      <c r="D141" s="147"/>
      <c r="E141" s="147"/>
      <c r="F141" s="226" t="s">
        <v>325</v>
      </c>
      <c r="G141" s="227"/>
      <c r="H141" s="227"/>
      <c r="I141" s="227"/>
      <c r="J141" s="147"/>
      <c r="K141" s="148">
        <v>1.261</v>
      </c>
      <c r="L141" s="147"/>
      <c r="M141" s="147"/>
      <c r="N141" s="147"/>
      <c r="O141" s="147"/>
      <c r="P141" s="147"/>
      <c r="Q141" s="147"/>
      <c r="R141" s="149"/>
      <c r="T141" s="150"/>
      <c r="U141" s="147"/>
      <c r="V141" s="147"/>
      <c r="W141" s="147"/>
      <c r="X141" s="147"/>
      <c r="Y141" s="147"/>
      <c r="Z141" s="147"/>
      <c r="AA141" s="151"/>
      <c r="AT141" s="152" t="s">
        <v>315</v>
      </c>
      <c r="AU141" s="152" t="s">
        <v>103</v>
      </c>
      <c r="AV141" s="152" t="s">
        <v>103</v>
      </c>
      <c r="AW141" s="152" t="s">
        <v>113</v>
      </c>
      <c r="AX141" s="152" t="s">
        <v>17</v>
      </c>
      <c r="AY141" s="152" t="s">
        <v>144</v>
      </c>
    </row>
    <row r="142" spans="2:64" s="6" customFormat="1" ht="39" customHeight="1">
      <c r="B142" s="22"/>
      <c r="C142" s="134" t="s">
        <v>162</v>
      </c>
      <c r="D142" s="134" t="s">
        <v>145</v>
      </c>
      <c r="E142" s="135" t="s">
        <v>326</v>
      </c>
      <c r="F142" s="217" t="s">
        <v>327</v>
      </c>
      <c r="G142" s="218"/>
      <c r="H142" s="218"/>
      <c r="I142" s="218"/>
      <c r="J142" s="136" t="s">
        <v>328</v>
      </c>
      <c r="K142" s="137">
        <v>80.261</v>
      </c>
      <c r="L142" s="219">
        <v>0</v>
      </c>
      <c r="M142" s="218"/>
      <c r="N142" s="220">
        <f>ROUND($L$142*$K$142,2)</f>
        <v>0</v>
      </c>
      <c r="O142" s="218"/>
      <c r="P142" s="218"/>
      <c r="Q142" s="218"/>
      <c r="R142" s="24"/>
      <c r="T142" s="138"/>
      <c r="U142" s="30" t="s">
        <v>38</v>
      </c>
      <c r="V142" s="139">
        <v>0.525</v>
      </c>
      <c r="W142" s="139">
        <f>$V$142*$K$142</f>
        <v>42.137025</v>
      </c>
      <c r="X142" s="139">
        <v>0.06982</v>
      </c>
      <c r="Y142" s="139">
        <f>$X$142*$K$142</f>
        <v>5.603823019999999</v>
      </c>
      <c r="Z142" s="139">
        <v>0</v>
      </c>
      <c r="AA142" s="140">
        <f>$Z$142*$K$142</f>
        <v>0</v>
      </c>
      <c r="AR142" s="6" t="s">
        <v>156</v>
      </c>
      <c r="AT142" s="6" t="s">
        <v>145</v>
      </c>
      <c r="AU142" s="6" t="s">
        <v>103</v>
      </c>
      <c r="AY142" s="6" t="s">
        <v>144</v>
      </c>
      <c r="BE142" s="88">
        <f>IF($U$142="základní",$N$142,0)</f>
        <v>0</v>
      </c>
      <c r="BF142" s="88">
        <f>IF($U$142="snížená",$N$142,0)</f>
        <v>0</v>
      </c>
      <c r="BG142" s="88">
        <f>IF($U$142="zákl. přenesená",$N$142,0)</f>
        <v>0</v>
      </c>
      <c r="BH142" s="88">
        <f>IF($U$142="sníž. přenesená",$N$142,0)</f>
        <v>0</v>
      </c>
      <c r="BI142" s="88">
        <f>IF($U$142="nulová",$N$142,0)</f>
        <v>0</v>
      </c>
      <c r="BJ142" s="6" t="s">
        <v>17</v>
      </c>
      <c r="BK142" s="88">
        <f>ROUND($L$142*$K$142,2)</f>
        <v>0</v>
      </c>
      <c r="BL142" s="6" t="s">
        <v>156</v>
      </c>
    </row>
    <row r="143" spans="2:51" s="6" customFormat="1" ht="27" customHeight="1">
      <c r="B143" s="146"/>
      <c r="C143" s="147"/>
      <c r="D143" s="147"/>
      <c r="E143" s="147"/>
      <c r="F143" s="226" t="s">
        <v>329</v>
      </c>
      <c r="G143" s="227"/>
      <c r="H143" s="227"/>
      <c r="I143" s="227"/>
      <c r="J143" s="147"/>
      <c r="K143" s="148">
        <v>80.261</v>
      </c>
      <c r="L143" s="147"/>
      <c r="M143" s="147"/>
      <c r="N143" s="147"/>
      <c r="O143" s="147"/>
      <c r="P143" s="147"/>
      <c r="Q143" s="147"/>
      <c r="R143" s="149"/>
      <c r="T143" s="150"/>
      <c r="U143" s="147"/>
      <c r="V143" s="147"/>
      <c r="W143" s="147"/>
      <c r="X143" s="147"/>
      <c r="Y143" s="147"/>
      <c r="Z143" s="147"/>
      <c r="AA143" s="151"/>
      <c r="AT143" s="152" t="s">
        <v>315</v>
      </c>
      <c r="AU143" s="152" t="s">
        <v>103</v>
      </c>
      <c r="AV143" s="152" t="s">
        <v>103</v>
      </c>
      <c r="AW143" s="152" t="s">
        <v>113</v>
      </c>
      <c r="AX143" s="152" t="s">
        <v>17</v>
      </c>
      <c r="AY143" s="152" t="s">
        <v>144</v>
      </c>
    </row>
    <row r="144" spans="2:63" s="123" customFormat="1" ht="30.75" customHeight="1">
      <c r="B144" s="124"/>
      <c r="C144" s="125"/>
      <c r="D144" s="133" t="s">
        <v>299</v>
      </c>
      <c r="E144" s="125"/>
      <c r="F144" s="125"/>
      <c r="G144" s="125"/>
      <c r="H144" s="125"/>
      <c r="I144" s="125"/>
      <c r="J144" s="125"/>
      <c r="K144" s="125"/>
      <c r="L144" s="125"/>
      <c r="M144" s="125"/>
      <c r="N144" s="225">
        <f>$BK$144</f>
        <v>0</v>
      </c>
      <c r="O144" s="224"/>
      <c r="P144" s="224"/>
      <c r="Q144" s="224"/>
      <c r="R144" s="127"/>
      <c r="T144" s="128"/>
      <c r="U144" s="125"/>
      <c r="V144" s="125"/>
      <c r="W144" s="129">
        <f>SUM($W$145:$W$146)</f>
        <v>5.6000000000000005</v>
      </c>
      <c r="X144" s="125"/>
      <c r="Y144" s="129">
        <f>SUM($Y$145:$Y$146)</f>
        <v>0.6378400000000001</v>
      </c>
      <c r="Z144" s="125"/>
      <c r="AA144" s="130">
        <f>SUM($AA$145:$AA$146)</f>
        <v>0</v>
      </c>
      <c r="AR144" s="131" t="s">
        <v>17</v>
      </c>
      <c r="AT144" s="131" t="s">
        <v>72</v>
      </c>
      <c r="AU144" s="131" t="s">
        <v>17</v>
      </c>
      <c r="AY144" s="131" t="s">
        <v>144</v>
      </c>
      <c r="BK144" s="132">
        <f>SUM($BK$145:$BK$146)</f>
        <v>0</v>
      </c>
    </row>
    <row r="145" spans="2:64" s="6" customFormat="1" ht="27" customHeight="1">
      <c r="B145" s="22"/>
      <c r="C145" s="134" t="s">
        <v>165</v>
      </c>
      <c r="D145" s="134" t="s">
        <v>145</v>
      </c>
      <c r="E145" s="135" t="s">
        <v>330</v>
      </c>
      <c r="F145" s="217" t="s">
        <v>331</v>
      </c>
      <c r="G145" s="218"/>
      <c r="H145" s="218"/>
      <c r="I145" s="218"/>
      <c r="J145" s="136" t="s">
        <v>155</v>
      </c>
      <c r="K145" s="137">
        <v>28</v>
      </c>
      <c r="L145" s="219">
        <v>0</v>
      </c>
      <c r="M145" s="218"/>
      <c r="N145" s="220">
        <f>ROUND($L$145*$K$145,2)</f>
        <v>0</v>
      </c>
      <c r="O145" s="218"/>
      <c r="P145" s="218"/>
      <c r="Q145" s="218"/>
      <c r="R145" s="24"/>
      <c r="T145" s="138"/>
      <c r="U145" s="30" t="s">
        <v>38</v>
      </c>
      <c r="V145" s="139">
        <v>0.2</v>
      </c>
      <c r="W145" s="139">
        <f>$V$145*$K$145</f>
        <v>5.6000000000000005</v>
      </c>
      <c r="X145" s="139">
        <v>0.02278</v>
      </c>
      <c r="Y145" s="139">
        <f>$X$145*$K$145</f>
        <v>0.6378400000000001</v>
      </c>
      <c r="Z145" s="139">
        <v>0</v>
      </c>
      <c r="AA145" s="140">
        <f>$Z$145*$K$145</f>
        <v>0</v>
      </c>
      <c r="AR145" s="6" t="s">
        <v>156</v>
      </c>
      <c r="AT145" s="6" t="s">
        <v>145</v>
      </c>
      <c r="AU145" s="6" t="s">
        <v>103</v>
      </c>
      <c r="AY145" s="6" t="s">
        <v>144</v>
      </c>
      <c r="BE145" s="88">
        <f>IF($U$145="základní",$N$145,0)</f>
        <v>0</v>
      </c>
      <c r="BF145" s="88">
        <f>IF($U$145="snížená",$N$145,0)</f>
        <v>0</v>
      </c>
      <c r="BG145" s="88">
        <f>IF($U$145="zákl. přenesená",$N$145,0)</f>
        <v>0</v>
      </c>
      <c r="BH145" s="88">
        <f>IF($U$145="sníž. přenesená",$N$145,0)</f>
        <v>0</v>
      </c>
      <c r="BI145" s="88">
        <f>IF($U$145="nulová",$N$145,0)</f>
        <v>0</v>
      </c>
      <c r="BJ145" s="6" t="s">
        <v>17</v>
      </c>
      <c r="BK145" s="88">
        <f>ROUND($L$145*$K$145,2)</f>
        <v>0</v>
      </c>
      <c r="BL145" s="6" t="s">
        <v>156</v>
      </c>
    </row>
    <row r="146" spans="2:51" s="6" customFormat="1" ht="15.75" customHeight="1">
      <c r="B146" s="146"/>
      <c r="C146" s="147"/>
      <c r="D146" s="147"/>
      <c r="E146" s="147"/>
      <c r="F146" s="226" t="s">
        <v>332</v>
      </c>
      <c r="G146" s="227"/>
      <c r="H146" s="227"/>
      <c r="I146" s="227"/>
      <c r="J146" s="147"/>
      <c r="K146" s="148">
        <v>28</v>
      </c>
      <c r="L146" s="147"/>
      <c r="M146" s="147"/>
      <c r="N146" s="147"/>
      <c r="O146" s="147"/>
      <c r="P146" s="147"/>
      <c r="Q146" s="147"/>
      <c r="R146" s="149"/>
      <c r="T146" s="150"/>
      <c r="U146" s="147"/>
      <c r="V146" s="147"/>
      <c r="W146" s="147"/>
      <c r="X146" s="147"/>
      <c r="Y146" s="147"/>
      <c r="Z146" s="147"/>
      <c r="AA146" s="151"/>
      <c r="AT146" s="152" t="s">
        <v>315</v>
      </c>
      <c r="AU146" s="152" t="s">
        <v>103</v>
      </c>
      <c r="AV146" s="152" t="s">
        <v>103</v>
      </c>
      <c r="AW146" s="152" t="s">
        <v>113</v>
      </c>
      <c r="AX146" s="152" t="s">
        <v>17</v>
      </c>
      <c r="AY146" s="152" t="s">
        <v>144</v>
      </c>
    </row>
    <row r="147" spans="2:63" s="123" customFormat="1" ht="30.75" customHeight="1">
      <c r="B147" s="124"/>
      <c r="C147" s="125"/>
      <c r="D147" s="133" t="s">
        <v>300</v>
      </c>
      <c r="E147" s="125"/>
      <c r="F147" s="125"/>
      <c r="G147" s="125"/>
      <c r="H147" s="125"/>
      <c r="I147" s="125"/>
      <c r="J147" s="125"/>
      <c r="K147" s="125"/>
      <c r="L147" s="125"/>
      <c r="M147" s="125"/>
      <c r="N147" s="225">
        <f>$BK$147</f>
        <v>0</v>
      </c>
      <c r="O147" s="224"/>
      <c r="P147" s="224"/>
      <c r="Q147" s="224"/>
      <c r="R147" s="127"/>
      <c r="T147" s="128"/>
      <c r="U147" s="125"/>
      <c r="V147" s="125"/>
      <c r="W147" s="129">
        <f>SUM($W$148:$W$157)</f>
        <v>254.92267399999997</v>
      </c>
      <c r="X147" s="125"/>
      <c r="Y147" s="129">
        <f>SUM($Y$148:$Y$157)</f>
        <v>10.87620683</v>
      </c>
      <c r="Z147" s="125"/>
      <c r="AA147" s="130">
        <f>SUM($AA$148:$AA$157)</f>
        <v>0</v>
      </c>
      <c r="AR147" s="131" t="s">
        <v>17</v>
      </c>
      <c r="AT147" s="131" t="s">
        <v>72</v>
      </c>
      <c r="AU147" s="131" t="s">
        <v>17</v>
      </c>
      <c r="AY147" s="131" t="s">
        <v>144</v>
      </c>
      <c r="BK147" s="132">
        <f>SUM($BK$148:$BK$157)</f>
        <v>0</v>
      </c>
    </row>
    <row r="148" spans="2:64" s="6" customFormat="1" ht="27" customHeight="1">
      <c r="B148" s="22"/>
      <c r="C148" s="134" t="s">
        <v>168</v>
      </c>
      <c r="D148" s="134" t="s">
        <v>145</v>
      </c>
      <c r="E148" s="135" t="s">
        <v>333</v>
      </c>
      <c r="F148" s="217" t="s">
        <v>334</v>
      </c>
      <c r="G148" s="218"/>
      <c r="H148" s="218"/>
      <c r="I148" s="218"/>
      <c r="J148" s="136" t="s">
        <v>328</v>
      </c>
      <c r="K148" s="137">
        <v>16.48</v>
      </c>
      <c r="L148" s="219">
        <v>0</v>
      </c>
      <c r="M148" s="218"/>
      <c r="N148" s="220">
        <f>ROUND($L$148*$K$148,2)</f>
        <v>0</v>
      </c>
      <c r="O148" s="218"/>
      <c r="P148" s="218"/>
      <c r="Q148" s="218"/>
      <c r="R148" s="24"/>
      <c r="T148" s="138"/>
      <c r="U148" s="30" t="s">
        <v>38</v>
      </c>
      <c r="V148" s="139">
        <v>0.47</v>
      </c>
      <c r="W148" s="139">
        <f>$V$148*$K$148</f>
        <v>7.7456</v>
      </c>
      <c r="X148" s="139">
        <v>0.01838</v>
      </c>
      <c r="Y148" s="139">
        <f>$X$148*$K$148</f>
        <v>0.3029024</v>
      </c>
      <c r="Z148" s="139">
        <v>0</v>
      </c>
      <c r="AA148" s="140">
        <f>$Z$148*$K$148</f>
        <v>0</v>
      </c>
      <c r="AR148" s="6" t="s">
        <v>156</v>
      </c>
      <c r="AT148" s="6" t="s">
        <v>145</v>
      </c>
      <c r="AU148" s="6" t="s">
        <v>103</v>
      </c>
      <c r="AY148" s="6" t="s">
        <v>144</v>
      </c>
      <c r="BE148" s="88">
        <f>IF($U$148="základní",$N$148,0)</f>
        <v>0</v>
      </c>
      <c r="BF148" s="88">
        <f>IF($U$148="snížená",$N$148,0)</f>
        <v>0</v>
      </c>
      <c r="BG148" s="88">
        <f>IF($U$148="zákl. přenesená",$N$148,0)</f>
        <v>0</v>
      </c>
      <c r="BH148" s="88">
        <f>IF($U$148="sníž. přenesená",$N$148,0)</f>
        <v>0</v>
      </c>
      <c r="BI148" s="88">
        <f>IF($U$148="nulová",$N$148,0)</f>
        <v>0</v>
      </c>
      <c r="BJ148" s="6" t="s">
        <v>17</v>
      </c>
      <c r="BK148" s="88">
        <f>ROUND($L$148*$K$148,2)</f>
        <v>0</v>
      </c>
      <c r="BL148" s="6" t="s">
        <v>156</v>
      </c>
    </row>
    <row r="149" spans="2:51" s="6" customFormat="1" ht="15.75" customHeight="1">
      <c r="B149" s="146"/>
      <c r="C149" s="147"/>
      <c r="D149" s="147"/>
      <c r="E149" s="147"/>
      <c r="F149" s="226" t="s">
        <v>335</v>
      </c>
      <c r="G149" s="227"/>
      <c r="H149" s="227"/>
      <c r="I149" s="227"/>
      <c r="J149" s="147"/>
      <c r="K149" s="148">
        <v>16.48</v>
      </c>
      <c r="L149" s="147"/>
      <c r="M149" s="147"/>
      <c r="N149" s="147"/>
      <c r="O149" s="147"/>
      <c r="P149" s="147"/>
      <c r="Q149" s="147"/>
      <c r="R149" s="149"/>
      <c r="T149" s="150"/>
      <c r="U149" s="147"/>
      <c r="V149" s="147"/>
      <c r="W149" s="147"/>
      <c r="X149" s="147"/>
      <c r="Y149" s="147"/>
      <c r="Z149" s="147"/>
      <c r="AA149" s="151"/>
      <c r="AT149" s="152" t="s">
        <v>315</v>
      </c>
      <c r="AU149" s="152" t="s">
        <v>103</v>
      </c>
      <c r="AV149" s="152" t="s">
        <v>103</v>
      </c>
      <c r="AW149" s="152" t="s">
        <v>113</v>
      </c>
      <c r="AX149" s="152" t="s">
        <v>17</v>
      </c>
      <c r="AY149" s="152" t="s">
        <v>144</v>
      </c>
    </row>
    <row r="150" spans="2:64" s="6" customFormat="1" ht="27" customHeight="1">
      <c r="B150" s="22"/>
      <c r="C150" s="134" t="s">
        <v>171</v>
      </c>
      <c r="D150" s="134" t="s">
        <v>145</v>
      </c>
      <c r="E150" s="135" t="s">
        <v>336</v>
      </c>
      <c r="F150" s="217" t="s">
        <v>337</v>
      </c>
      <c r="G150" s="218"/>
      <c r="H150" s="218"/>
      <c r="I150" s="218"/>
      <c r="J150" s="136" t="s">
        <v>328</v>
      </c>
      <c r="K150" s="137">
        <v>162.611</v>
      </c>
      <c r="L150" s="219">
        <v>0</v>
      </c>
      <c r="M150" s="218"/>
      <c r="N150" s="220">
        <f>ROUND($L$150*$K$150,2)</f>
        <v>0</v>
      </c>
      <c r="O150" s="218"/>
      <c r="P150" s="218"/>
      <c r="Q150" s="218"/>
      <c r="R150" s="24"/>
      <c r="T150" s="138"/>
      <c r="U150" s="30" t="s">
        <v>38</v>
      </c>
      <c r="V150" s="139">
        <v>0.47</v>
      </c>
      <c r="W150" s="139">
        <f>$V$150*$K$150</f>
        <v>76.42716999999999</v>
      </c>
      <c r="X150" s="139">
        <v>0.01313</v>
      </c>
      <c r="Y150" s="139">
        <f>$X$150*$K$150</f>
        <v>2.1350824299999998</v>
      </c>
      <c r="Z150" s="139">
        <v>0</v>
      </c>
      <c r="AA150" s="140">
        <f>$Z$150*$K$150</f>
        <v>0</v>
      </c>
      <c r="AR150" s="6" t="s">
        <v>156</v>
      </c>
      <c r="AT150" s="6" t="s">
        <v>145</v>
      </c>
      <c r="AU150" s="6" t="s">
        <v>103</v>
      </c>
      <c r="AY150" s="6" t="s">
        <v>144</v>
      </c>
      <c r="BE150" s="88">
        <f>IF($U$150="základní",$N$150,0)</f>
        <v>0</v>
      </c>
      <c r="BF150" s="88">
        <f>IF($U$150="snížená",$N$150,0)</f>
        <v>0</v>
      </c>
      <c r="BG150" s="88">
        <f>IF($U$150="zákl. přenesená",$N$150,0)</f>
        <v>0</v>
      </c>
      <c r="BH150" s="88">
        <f>IF($U$150="sníž. přenesená",$N$150,0)</f>
        <v>0</v>
      </c>
      <c r="BI150" s="88">
        <f>IF($U$150="nulová",$N$150,0)</f>
        <v>0</v>
      </c>
      <c r="BJ150" s="6" t="s">
        <v>17</v>
      </c>
      <c r="BK150" s="88">
        <f>ROUND($L$150*$K$150,2)</f>
        <v>0</v>
      </c>
      <c r="BL150" s="6" t="s">
        <v>156</v>
      </c>
    </row>
    <row r="151" spans="2:51" s="6" customFormat="1" ht="27" customHeight="1">
      <c r="B151" s="146"/>
      <c r="C151" s="147"/>
      <c r="D151" s="147"/>
      <c r="E151" s="147"/>
      <c r="F151" s="226" t="s">
        <v>338</v>
      </c>
      <c r="G151" s="227"/>
      <c r="H151" s="227"/>
      <c r="I151" s="227"/>
      <c r="J151" s="147"/>
      <c r="K151" s="148">
        <v>162.611</v>
      </c>
      <c r="L151" s="147"/>
      <c r="M151" s="147"/>
      <c r="N151" s="147"/>
      <c r="O151" s="147"/>
      <c r="P151" s="147"/>
      <c r="Q151" s="147"/>
      <c r="R151" s="149"/>
      <c r="T151" s="150"/>
      <c r="U151" s="147"/>
      <c r="V151" s="147"/>
      <c r="W151" s="147"/>
      <c r="X151" s="147"/>
      <c r="Y151" s="147"/>
      <c r="Z151" s="147"/>
      <c r="AA151" s="151"/>
      <c r="AT151" s="152" t="s">
        <v>315</v>
      </c>
      <c r="AU151" s="152" t="s">
        <v>103</v>
      </c>
      <c r="AV151" s="152" t="s">
        <v>103</v>
      </c>
      <c r="AW151" s="152" t="s">
        <v>113</v>
      </c>
      <c r="AX151" s="152" t="s">
        <v>17</v>
      </c>
      <c r="AY151" s="152" t="s">
        <v>144</v>
      </c>
    </row>
    <row r="152" spans="2:64" s="6" customFormat="1" ht="27" customHeight="1">
      <c r="B152" s="22"/>
      <c r="C152" s="134" t="s">
        <v>22</v>
      </c>
      <c r="D152" s="134" t="s">
        <v>145</v>
      </c>
      <c r="E152" s="135" t="s">
        <v>339</v>
      </c>
      <c r="F152" s="217" t="s">
        <v>340</v>
      </c>
      <c r="G152" s="218"/>
      <c r="H152" s="218"/>
      <c r="I152" s="218"/>
      <c r="J152" s="136" t="s">
        <v>328</v>
      </c>
      <c r="K152" s="137">
        <v>496.366</v>
      </c>
      <c r="L152" s="219">
        <v>0</v>
      </c>
      <c r="M152" s="218"/>
      <c r="N152" s="220">
        <f>ROUND($L$152*$K$152,2)</f>
        <v>0</v>
      </c>
      <c r="O152" s="218"/>
      <c r="P152" s="218"/>
      <c r="Q152" s="218"/>
      <c r="R152" s="24"/>
      <c r="T152" s="138"/>
      <c r="U152" s="30" t="s">
        <v>38</v>
      </c>
      <c r="V152" s="139">
        <v>0.344</v>
      </c>
      <c r="W152" s="139">
        <f>$V$152*$K$152</f>
        <v>170.749904</v>
      </c>
      <c r="X152" s="139">
        <v>0.017</v>
      </c>
      <c r="Y152" s="139">
        <f>$X$152*$K$152</f>
        <v>8.438222</v>
      </c>
      <c r="Z152" s="139">
        <v>0</v>
      </c>
      <c r="AA152" s="140">
        <f>$Z$152*$K$152</f>
        <v>0</v>
      </c>
      <c r="AR152" s="6" t="s">
        <v>156</v>
      </c>
      <c r="AT152" s="6" t="s">
        <v>145</v>
      </c>
      <c r="AU152" s="6" t="s">
        <v>103</v>
      </c>
      <c r="AY152" s="6" t="s">
        <v>144</v>
      </c>
      <c r="BE152" s="88">
        <f>IF($U$152="základní",$N$152,0)</f>
        <v>0</v>
      </c>
      <c r="BF152" s="88">
        <f>IF($U$152="snížená",$N$152,0)</f>
        <v>0</v>
      </c>
      <c r="BG152" s="88">
        <f>IF($U$152="zákl. přenesená",$N$152,0)</f>
        <v>0</v>
      </c>
      <c r="BH152" s="88">
        <f>IF($U$152="sníž. přenesená",$N$152,0)</f>
        <v>0</v>
      </c>
      <c r="BI152" s="88">
        <f>IF($U$152="nulová",$N$152,0)</f>
        <v>0</v>
      </c>
      <c r="BJ152" s="6" t="s">
        <v>17</v>
      </c>
      <c r="BK152" s="88">
        <f>ROUND($L$152*$K$152,2)</f>
        <v>0</v>
      </c>
      <c r="BL152" s="6" t="s">
        <v>156</v>
      </c>
    </row>
    <row r="153" spans="2:51" s="6" customFormat="1" ht="27" customHeight="1">
      <c r="B153" s="146"/>
      <c r="C153" s="147"/>
      <c r="D153" s="147"/>
      <c r="E153" s="147"/>
      <c r="F153" s="226" t="s">
        <v>341</v>
      </c>
      <c r="G153" s="227"/>
      <c r="H153" s="227"/>
      <c r="I153" s="227"/>
      <c r="J153" s="147"/>
      <c r="K153" s="148">
        <v>788.24</v>
      </c>
      <c r="L153" s="147"/>
      <c r="M153" s="147"/>
      <c r="N153" s="147"/>
      <c r="O153" s="147"/>
      <c r="P153" s="147"/>
      <c r="Q153" s="147"/>
      <c r="R153" s="149"/>
      <c r="T153" s="150"/>
      <c r="U153" s="147"/>
      <c r="V153" s="147"/>
      <c r="W153" s="147"/>
      <c r="X153" s="147"/>
      <c r="Y153" s="147"/>
      <c r="Z153" s="147"/>
      <c r="AA153" s="151"/>
      <c r="AT153" s="152" t="s">
        <v>315</v>
      </c>
      <c r="AU153" s="152" t="s">
        <v>103</v>
      </c>
      <c r="AV153" s="152" t="s">
        <v>103</v>
      </c>
      <c r="AW153" s="152" t="s">
        <v>113</v>
      </c>
      <c r="AX153" s="152" t="s">
        <v>73</v>
      </c>
      <c r="AY153" s="152" t="s">
        <v>144</v>
      </c>
    </row>
    <row r="154" spans="2:51" s="6" customFormat="1" ht="15.75" customHeight="1">
      <c r="B154" s="146"/>
      <c r="C154" s="147"/>
      <c r="D154" s="147"/>
      <c r="E154" s="147"/>
      <c r="F154" s="226" t="s">
        <v>342</v>
      </c>
      <c r="G154" s="227"/>
      <c r="H154" s="227"/>
      <c r="I154" s="227"/>
      <c r="J154" s="147"/>
      <c r="K154" s="148">
        <v>126.26</v>
      </c>
      <c r="L154" s="147"/>
      <c r="M154" s="147"/>
      <c r="N154" s="147"/>
      <c r="O154" s="147"/>
      <c r="P154" s="147"/>
      <c r="Q154" s="147"/>
      <c r="R154" s="149"/>
      <c r="T154" s="150"/>
      <c r="U154" s="147"/>
      <c r="V154" s="147"/>
      <c r="W154" s="147"/>
      <c r="X154" s="147"/>
      <c r="Y154" s="147"/>
      <c r="Z154" s="147"/>
      <c r="AA154" s="151"/>
      <c r="AT154" s="152" t="s">
        <v>315</v>
      </c>
      <c r="AU154" s="152" t="s">
        <v>103</v>
      </c>
      <c r="AV154" s="152" t="s">
        <v>103</v>
      </c>
      <c r="AW154" s="152" t="s">
        <v>113</v>
      </c>
      <c r="AX154" s="152" t="s">
        <v>73</v>
      </c>
      <c r="AY154" s="152" t="s">
        <v>144</v>
      </c>
    </row>
    <row r="155" spans="2:51" s="6" customFormat="1" ht="27" customHeight="1">
      <c r="B155" s="146"/>
      <c r="C155" s="147"/>
      <c r="D155" s="147"/>
      <c r="E155" s="147"/>
      <c r="F155" s="226" t="s">
        <v>343</v>
      </c>
      <c r="G155" s="227"/>
      <c r="H155" s="227"/>
      <c r="I155" s="227"/>
      <c r="J155" s="147"/>
      <c r="K155" s="148">
        <v>-260.489</v>
      </c>
      <c r="L155" s="147"/>
      <c r="M155" s="147"/>
      <c r="N155" s="147"/>
      <c r="O155" s="147"/>
      <c r="P155" s="147"/>
      <c r="Q155" s="147"/>
      <c r="R155" s="149"/>
      <c r="T155" s="150"/>
      <c r="U155" s="147"/>
      <c r="V155" s="147"/>
      <c r="W155" s="147"/>
      <c r="X155" s="147"/>
      <c r="Y155" s="147"/>
      <c r="Z155" s="147"/>
      <c r="AA155" s="151"/>
      <c r="AT155" s="152" t="s">
        <v>315</v>
      </c>
      <c r="AU155" s="152" t="s">
        <v>103</v>
      </c>
      <c r="AV155" s="152" t="s">
        <v>103</v>
      </c>
      <c r="AW155" s="152" t="s">
        <v>113</v>
      </c>
      <c r="AX155" s="152" t="s">
        <v>73</v>
      </c>
      <c r="AY155" s="152" t="s">
        <v>144</v>
      </c>
    </row>
    <row r="156" spans="2:51" s="6" customFormat="1" ht="15.75" customHeight="1">
      <c r="B156" s="146"/>
      <c r="C156" s="147"/>
      <c r="D156" s="147"/>
      <c r="E156" s="147"/>
      <c r="F156" s="226" t="s">
        <v>344</v>
      </c>
      <c r="G156" s="227"/>
      <c r="H156" s="227"/>
      <c r="I156" s="227"/>
      <c r="J156" s="147"/>
      <c r="K156" s="148">
        <v>-157.645</v>
      </c>
      <c r="L156" s="147"/>
      <c r="M156" s="147"/>
      <c r="N156" s="147"/>
      <c r="O156" s="147"/>
      <c r="P156" s="147"/>
      <c r="Q156" s="147"/>
      <c r="R156" s="149"/>
      <c r="T156" s="150"/>
      <c r="U156" s="147"/>
      <c r="V156" s="147"/>
      <c r="W156" s="147"/>
      <c r="X156" s="147"/>
      <c r="Y156" s="147"/>
      <c r="Z156" s="147"/>
      <c r="AA156" s="151"/>
      <c r="AT156" s="152" t="s">
        <v>315</v>
      </c>
      <c r="AU156" s="152" t="s">
        <v>103</v>
      </c>
      <c r="AV156" s="152" t="s">
        <v>103</v>
      </c>
      <c r="AW156" s="152" t="s">
        <v>113</v>
      </c>
      <c r="AX156" s="152" t="s">
        <v>73</v>
      </c>
      <c r="AY156" s="152" t="s">
        <v>144</v>
      </c>
    </row>
    <row r="157" spans="2:51" s="6" customFormat="1" ht="15.75" customHeight="1">
      <c r="B157" s="153"/>
      <c r="C157" s="154"/>
      <c r="D157" s="154"/>
      <c r="E157" s="154"/>
      <c r="F157" s="228" t="s">
        <v>345</v>
      </c>
      <c r="G157" s="229"/>
      <c r="H157" s="229"/>
      <c r="I157" s="229"/>
      <c r="J157" s="154"/>
      <c r="K157" s="155">
        <v>496.366</v>
      </c>
      <c r="L157" s="154"/>
      <c r="M157" s="154"/>
      <c r="N157" s="154"/>
      <c r="O157" s="154"/>
      <c r="P157" s="154"/>
      <c r="Q157" s="154"/>
      <c r="R157" s="156"/>
      <c r="T157" s="157"/>
      <c r="U157" s="154"/>
      <c r="V157" s="154"/>
      <c r="W157" s="154"/>
      <c r="X157" s="154"/>
      <c r="Y157" s="154"/>
      <c r="Z157" s="154"/>
      <c r="AA157" s="158"/>
      <c r="AT157" s="159" t="s">
        <v>315</v>
      </c>
      <c r="AU157" s="159" t="s">
        <v>103</v>
      </c>
      <c r="AV157" s="159" t="s">
        <v>156</v>
      </c>
      <c r="AW157" s="159" t="s">
        <v>113</v>
      </c>
      <c r="AX157" s="159" t="s">
        <v>17</v>
      </c>
      <c r="AY157" s="159" t="s">
        <v>144</v>
      </c>
    </row>
    <row r="158" spans="2:63" s="123" customFormat="1" ht="30.75" customHeight="1">
      <c r="B158" s="124"/>
      <c r="C158" s="125"/>
      <c r="D158" s="133" t="s">
        <v>301</v>
      </c>
      <c r="E158" s="125"/>
      <c r="F158" s="125"/>
      <c r="G158" s="125"/>
      <c r="H158" s="125"/>
      <c r="I158" s="125"/>
      <c r="J158" s="125"/>
      <c r="K158" s="125"/>
      <c r="L158" s="125"/>
      <c r="M158" s="125"/>
      <c r="N158" s="225">
        <f>$BK$158</f>
        <v>0</v>
      </c>
      <c r="O158" s="224"/>
      <c r="P158" s="224"/>
      <c r="Q158" s="224"/>
      <c r="R158" s="127"/>
      <c r="T158" s="128"/>
      <c r="U158" s="125"/>
      <c r="V158" s="125"/>
      <c r="W158" s="129">
        <f>$W$159+SUM($W$160:$W$186)</f>
        <v>192.598817</v>
      </c>
      <c r="X158" s="125"/>
      <c r="Y158" s="129">
        <f>$Y$159+SUM($Y$160:$Y$186)</f>
        <v>0.15122</v>
      </c>
      <c r="Z158" s="125"/>
      <c r="AA158" s="130">
        <f>$AA$159+SUM($AA$160:$AA$186)</f>
        <v>47.166559</v>
      </c>
      <c r="AR158" s="131" t="s">
        <v>17</v>
      </c>
      <c r="AT158" s="131" t="s">
        <v>72</v>
      </c>
      <c r="AU158" s="131" t="s">
        <v>17</v>
      </c>
      <c r="AY158" s="131" t="s">
        <v>144</v>
      </c>
      <c r="BK158" s="132">
        <f>$BK$159+SUM($BK$160:$BK$186)</f>
        <v>0</v>
      </c>
    </row>
    <row r="159" spans="2:64" s="6" customFormat="1" ht="27" customHeight="1">
      <c r="B159" s="22"/>
      <c r="C159" s="134" t="s">
        <v>176</v>
      </c>
      <c r="D159" s="134" t="s">
        <v>145</v>
      </c>
      <c r="E159" s="135" t="s">
        <v>346</v>
      </c>
      <c r="F159" s="217" t="s">
        <v>347</v>
      </c>
      <c r="G159" s="218"/>
      <c r="H159" s="218"/>
      <c r="I159" s="218"/>
      <c r="J159" s="136" t="s">
        <v>148</v>
      </c>
      <c r="K159" s="137">
        <v>33.8</v>
      </c>
      <c r="L159" s="219">
        <v>0</v>
      </c>
      <c r="M159" s="218"/>
      <c r="N159" s="220">
        <f>ROUND($L$159*$K$159,2)</f>
        <v>0</v>
      </c>
      <c r="O159" s="218"/>
      <c r="P159" s="218"/>
      <c r="Q159" s="218"/>
      <c r="R159" s="24"/>
      <c r="T159" s="138"/>
      <c r="U159" s="30" t="s">
        <v>38</v>
      </c>
      <c r="V159" s="139">
        <v>0.25</v>
      </c>
      <c r="W159" s="139">
        <f>$V$159*$K$159</f>
        <v>8.45</v>
      </c>
      <c r="X159" s="139">
        <v>0.00234</v>
      </c>
      <c r="Y159" s="139">
        <f>$X$159*$K$159</f>
        <v>0.079092</v>
      </c>
      <c r="Z159" s="139">
        <v>0</v>
      </c>
      <c r="AA159" s="140">
        <f>$Z$159*$K$159</f>
        <v>0</v>
      </c>
      <c r="AR159" s="6" t="s">
        <v>156</v>
      </c>
      <c r="AT159" s="6" t="s">
        <v>145</v>
      </c>
      <c r="AU159" s="6" t="s">
        <v>103</v>
      </c>
      <c r="AY159" s="6" t="s">
        <v>144</v>
      </c>
      <c r="BE159" s="88">
        <f>IF($U$159="základní",$N$159,0)</f>
        <v>0</v>
      </c>
      <c r="BF159" s="88">
        <f>IF($U$159="snížená",$N$159,0)</f>
        <v>0</v>
      </c>
      <c r="BG159" s="88">
        <f>IF($U$159="zákl. přenesená",$N$159,0)</f>
        <v>0</v>
      </c>
      <c r="BH159" s="88">
        <f>IF($U$159="sníž. přenesená",$N$159,0)</f>
        <v>0</v>
      </c>
      <c r="BI159" s="88">
        <f>IF($U$159="nulová",$N$159,0)</f>
        <v>0</v>
      </c>
      <c r="BJ159" s="6" t="s">
        <v>17</v>
      </c>
      <c r="BK159" s="88">
        <f>ROUND($L$159*$K$159,2)</f>
        <v>0</v>
      </c>
      <c r="BL159" s="6" t="s">
        <v>156</v>
      </c>
    </row>
    <row r="160" spans="2:64" s="6" customFormat="1" ht="15.75" customHeight="1">
      <c r="B160" s="22"/>
      <c r="C160" s="160" t="s">
        <v>179</v>
      </c>
      <c r="D160" s="160" t="s">
        <v>348</v>
      </c>
      <c r="E160" s="161" t="s">
        <v>349</v>
      </c>
      <c r="F160" s="230" t="s">
        <v>350</v>
      </c>
      <c r="G160" s="231"/>
      <c r="H160" s="231"/>
      <c r="I160" s="231"/>
      <c r="J160" s="162" t="s">
        <v>148</v>
      </c>
      <c r="K160" s="163">
        <v>33.8</v>
      </c>
      <c r="L160" s="232">
        <v>0</v>
      </c>
      <c r="M160" s="231"/>
      <c r="N160" s="233">
        <f>ROUND($L$160*$K$160,2)</f>
        <v>0</v>
      </c>
      <c r="O160" s="218"/>
      <c r="P160" s="218"/>
      <c r="Q160" s="218"/>
      <c r="R160" s="24"/>
      <c r="T160" s="138"/>
      <c r="U160" s="30" t="s">
        <v>38</v>
      </c>
      <c r="V160" s="139">
        <v>0</v>
      </c>
      <c r="W160" s="139">
        <f>$V$160*$K$160</f>
        <v>0</v>
      </c>
      <c r="X160" s="139">
        <v>0.00016</v>
      </c>
      <c r="Y160" s="139">
        <f>$X$160*$K$160</f>
        <v>0.005408</v>
      </c>
      <c r="Z160" s="139">
        <v>0</v>
      </c>
      <c r="AA160" s="140">
        <f>$Z$160*$K$160</f>
        <v>0</v>
      </c>
      <c r="AR160" s="6" t="s">
        <v>168</v>
      </c>
      <c r="AT160" s="6" t="s">
        <v>348</v>
      </c>
      <c r="AU160" s="6" t="s">
        <v>103</v>
      </c>
      <c r="AY160" s="6" t="s">
        <v>144</v>
      </c>
      <c r="BE160" s="88">
        <f>IF($U$160="základní",$N$160,0)</f>
        <v>0</v>
      </c>
      <c r="BF160" s="88">
        <f>IF($U$160="snížená",$N$160,0)</f>
        <v>0</v>
      </c>
      <c r="BG160" s="88">
        <f>IF($U$160="zákl. přenesená",$N$160,0)</f>
        <v>0</v>
      </c>
      <c r="BH160" s="88">
        <f>IF($U$160="sníž. přenesená",$N$160,0)</f>
        <v>0</v>
      </c>
      <c r="BI160" s="88">
        <f>IF($U$160="nulová",$N$160,0)</f>
        <v>0</v>
      </c>
      <c r="BJ160" s="6" t="s">
        <v>17</v>
      </c>
      <c r="BK160" s="88">
        <f>ROUND($L$160*$K$160,2)</f>
        <v>0</v>
      </c>
      <c r="BL160" s="6" t="s">
        <v>156</v>
      </c>
    </row>
    <row r="161" spans="2:51" s="6" customFormat="1" ht="27" customHeight="1">
      <c r="B161" s="146"/>
      <c r="C161" s="147"/>
      <c r="D161" s="147"/>
      <c r="E161" s="147"/>
      <c r="F161" s="226" t="s">
        <v>351</v>
      </c>
      <c r="G161" s="227"/>
      <c r="H161" s="227"/>
      <c r="I161" s="227"/>
      <c r="J161" s="147"/>
      <c r="K161" s="148">
        <v>33.8</v>
      </c>
      <c r="L161" s="147"/>
      <c r="M161" s="147"/>
      <c r="N161" s="147"/>
      <c r="O161" s="147"/>
      <c r="P161" s="147"/>
      <c r="Q161" s="147"/>
      <c r="R161" s="149"/>
      <c r="T161" s="150"/>
      <c r="U161" s="147"/>
      <c r="V161" s="147"/>
      <c r="W161" s="147"/>
      <c r="X161" s="147"/>
      <c r="Y161" s="147"/>
      <c r="Z161" s="147"/>
      <c r="AA161" s="151"/>
      <c r="AT161" s="152" t="s">
        <v>315</v>
      </c>
      <c r="AU161" s="152" t="s">
        <v>103</v>
      </c>
      <c r="AV161" s="152" t="s">
        <v>103</v>
      </c>
      <c r="AW161" s="152" t="s">
        <v>113</v>
      </c>
      <c r="AX161" s="152" t="s">
        <v>17</v>
      </c>
      <c r="AY161" s="152" t="s">
        <v>144</v>
      </c>
    </row>
    <row r="162" spans="2:64" s="6" customFormat="1" ht="27" customHeight="1">
      <c r="B162" s="22"/>
      <c r="C162" s="134" t="s">
        <v>182</v>
      </c>
      <c r="D162" s="134" t="s">
        <v>145</v>
      </c>
      <c r="E162" s="135" t="s">
        <v>352</v>
      </c>
      <c r="F162" s="217" t="s">
        <v>353</v>
      </c>
      <c r="G162" s="218"/>
      <c r="H162" s="218"/>
      <c r="I162" s="218"/>
      <c r="J162" s="136" t="s">
        <v>155</v>
      </c>
      <c r="K162" s="137">
        <v>4</v>
      </c>
      <c r="L162" s="219">
        <v>0</v>
      </c>
      <c r="M162" s="218"/>
      <c r="N162" s="220">
        <f>ROUND($L$162*$K$162,2)</f>
        <v>0</v>
      </c>
      <c r="O162" s="218"/>
      <c r="P162" s="218"/>
      <c r="Q162" s="218"/>
      <c r="R162" s="24"/>
      <c r="T162" s="138"/>
      <c r="U162" s="30" t="s">
        <v>38</v>
      </c>
      <c r="V162" s="139">
        <v>0.43</v>
      </c>
      <c r="W162" s="139">
        <f>$V$162*$K$162</f>
        <v>1.72</v>
      </c>
      <c r="X162" s="139">
        <v>0.00468</v>
      </c>
      <c r="Y162" s="139">
        <f>$X$162*$K$162</f>
        <v>0.01872</v>
      </c>
      <c r="Z162" s="139">
        <v>0</v>
      </c>
      <c r="AA162" s="140">
        <f>$Z$162*$K$162</f>
        <v>0</v>
      </c>
      <c r="AR162" s="6" t="s">
        <v>156</v>
      </c>
      <c r="AT162" s="6" t="s">
        <v>145</v>
      </c>
      <c r="AU162" s="6" t="s">
        <v>103</v>
      </c>
      <c r="AY162" s="6" t="s">
        <v>144</v>
      </c>
      <c r="BE162" s="88">
        <f>IF($U$162="základní",$N$162,0)</f>
        <v>0</v>
      </c>
      <c r="BF162" s="88">
        <f>IF($U$162="snížená",$N$162,0)</f>
        <v>0</v>
      </c>
      <c r="BG162" s="88">
        <f>IF($U$162="zákl. přenesená",$N$162,0)</f>
        <v>0</v>
      </c>
      <c r="BH162" s="88">
        <f>IF($U$162="sníž. přenesená",$N$162,0)</f>
        <v>0</v>
      </c>
      <c r="BI162" s="88">
        <f>IF($U$162="nulová",$N$162,0)</f>
        <v>0</v>
      </c>
      <c r="BJ162" s="6" t="s">
        <v>17</v>
      </c>
      <c r="BK162" s="88">
        <f>ROUND($L$162*$K$162,2)</f>
        <v>0</v>
      </c>
      <c r="BL162" s="6" t="s">
        <v>156</v>
      </c>
    </row>
    <row r="163" spans="2:64" s="6" customFormat="1" ht="27" customHeight="1">
      <c r="B163" s="22"/>
      <c r="C163" s="160" t="s">
        <v>186</v>
      </c>
      <c r="D163" s="160" t="s">
        <v>348</v>
      </c>
      <c r="E163" s="161" t="s">
        <v>354</v>
      </c>
      <c r="F163" s="230" t="s">
        <v>355</v>
      </c>
      <c r="G163" s="231"/>
      <c r="H163" s="231"/>
      <c r="I163" s="231"/>
      <c r="J163" s="162" t="s">
        <v>328</v>
      </c>
      <c r="K163" s="163">
        <v>4</v>
      </c>
      <c r="L163" s="232">
        <v>0</v>
      </c>
      <c r="M163" s="231"/>
      <c r="N163" s="233">
        <f>ROUND($L$163*$K$163,2)</f>
        <v>0</v>
      </c>
      <c r="O163" s="218"/>
      <c r="P163" s="218"/>
      <c r="Q163" s="218"/>
      <c r="R163" s="24"/>
      <c r="T163" s="138"/>
      <c r="U163" s="30" t="s">
        <v>38</v>
      </c>
      <c r="V163" s="139">
        <v>0</v>
      </c>
      <c r="W163" s="139">
        <f>$V$163*$K$163</f>
        <v>0</v>
      </c>
      <c r="X163" s="139">
        <v>0.012</v>
      </c>
      <c r="Y163" s="139">
        <f>$X$163*$K$163</f>
        <v>0.048</v>
      </c>
      <c r="Z163" s="139">
        <v>0</v>
      </c>
      <c r="AA163" s="140">
        <f>$Z$163*$K$163</f>
        <v>0</v>
      </c>
      <c r="AR163" s="6" t="s">
        <v>168</v>
      </c>
      <c r="AT163" s="6" t="s">
        <v>348</v>
      </c>
      <c r="AU163" s="6" t="s">
        <v>103</v>
      </c>
      <c r="AY163" s="6" t="s">
        <v>144</v>
      </c>
      <c r="BE163" s="88">
        <f>IF($U$163="základní",$N$163,0)</f>
        <v>0</v>
      </c>
      <c r="BF163" s="88">
        <f>IF($U$163="snížená",$N$163,0)</f>
        <v>0</v>
      </c>
      <c r="BG163" s="88">
        <f>IF($U$163="zákl. přenesená",$N$163,0)</f>
        <v>0</v>
      </c>
      <c r="BH163" s="88">
        <f>IF($U$163="sníž. přenesená",$N$163,0)</f>
        <v>0</v>
      </c>
      <c r="BI163" s="88">
        <f>IF($U$163="nulová",$N$163,0)</f>
        <v>0</v>
      </c>
      <c r="BJ163" s="6" t="s">
        <v>17</v>
      </c>
      <c r="BK163" s="88">
        <f>ROUND($L$163*$K$163,2)</f>
        <v>0</v>
      </c>
      <c r="BL163" s="6" t="s">
        <v>156</v>
      </c>
    </row>
    <row r="164" spans="2:64" s="6" customFormat="1" ht="27" customHeight="1">
      <c r="B164" s="22"/>
      <c r="C164" s="134" t="s">
        <v>8</v>
      </c>
      <c r="D164" s="134" t="s">
        <v>145</v>
      </c>
      <c r="E164" s="135" t="s">
        <v>356</v>
      </c>
      <c r="F164" s="217" t="s">
        <v>357</v>
      </c>
      <c r="G164" s="218"/>
      <c r="H164" s="218"/>
      <c r="I164" s="218"/>
      <c r="J164" s="136" t="s">
        <v>328</v>
      </c>
      <c r="K164" s="137">
        <v>130.763</v>
      </c>
      <c r="L164" s="219">
        <v>0</v>
      </c>
      <c r="M164" s="218"/>
      <c r="N164" s="220">
        <f>ROUND($L$164*$K$164,2)</f>
        <v>0</v>
      </c>
      <c r="O164" s="218"/>
      <c r="P164" s="218"/>
      <c r="Q164" s="218"/>
      <c r="R164" s="24"/>
      <c r="T164" s="138"/>
      <c r="U164" s="30" t="s">
        <v>38</v>
      </c>
      <c r="V164" s="139">
        <v>0.245</v>
      </c>
      <c r="W164" s="139">
        <f>$V$164*$K$164</f>
        <v>32.036935</v>
      </c>
      <c r="X164" s="139">
        <v>0</v>
      </c>
      <c r="Y164" s="139">
        <f>$X$164*$K$164</f>
        <v>0</v>
      </c>
      <c r="Z164" s="139">
        <v>0.131</v>
      </c>
      <c r="AA164" s="140">
        <f>$Z$164*$K$164</f>
        <v>17.129953</v>
      </c>
      <c r="AR164" s="6" t="s">
        <v>156</v>
      </c>
      <c r="AT164" s="6" t="s">
        <v>145</v>
      </c>
      <c r="AU164" s="6" t="s">
        <v>103</v>
      </c>
      <c r="AY164" s="6" t="s">
        <v>144</v>
      </c>
      <c r="BE164" s="88">
        <f>IF($U$164="základní",$N$164,0)</f>
        <v>0</v>
      </c>
      <c r="BF164" s="88">
        <f>IF($U$164="snížená",$N$164,0)</f>
        <v>0</v>
      </c>
      <c r="BG164" s="88">
        <f>IF($U$164="zákl. přenesená",$N$164,0)</f>
        <v>0</v>
      </c>
      <c r="BH164" s="88">
        <f>IF($U$164="sníž. přenesená",$N$164,0)</f>
        <v>0</v>
      </c>
      <c r="BI164" s="88">
        <f>IF($U$164="nulová",$N$164,0)</f>
        <v>0</v>
      </c>
      <c r="BJ164" s="6" t="s">
        <v>17</v>
      </c>
      <c r="BK164" s="88">
        <f>ROUND($L$164*$K$164,2)</f>
        <v>0</v>
      </c>
      <c r="BL164" s="6" t="s">
        <v>156</v>
      </c>
    </row>
    <row r="165" spans="2:51" s="6" customFormat="1" ht="27" customHeight="1">
      <c r="B165" s="146"/>
      <c r="C165" s="147"/>
      <c r="D165" s="147"/>
      <c r="E165" s="147"/>
      <c r="F165" s="226" t="s">
        <v>358</v>
      </c>
      <c r="G165" s="227"/>
      <c r="H165" s="227"/>
      <c r="I165" s="227"/>
      <c r="J165" s="147"/>
      <c r="K165" s="148">
        <v>130.763</v>
      </c>
      <c r="L165" s="147"/>
      <c r="M165" s="147"/>
      <c r="N165" s="147"/>
      <c r="O165" s="147"/>
      <c r="P165" s="147"/>
      <c r="Q165" s="147"/>
      <c r="R165" s="149"/>
      <c r="T165" s="150"/>
      <c r="U165" s="147"/>
      <c r="V165" s="147"/>
      <c r="W165" s="147"/>
      <c r="X165" s="147"/>
      <c r="Y165" s="147"/>
      <c r="Z165" s="147"/>
      <c r="AA165" s="151"/>
      <c r="AT165" s="152" t="s">
        <v>315</v>
      </c>
      <c r="AU165" s="152" t="s">
        <v>103</v>
      </c>
      <c r="AV165" s="152" t="s">
        <v>103</v>
      </c>
      <c r="AW165" s="152" t="s">
        <v>113</v>
      </c>
      <c r="AX165" s="152" t="s">
        <v>17</v>
      </c>
      <c r="AY165" s="152" t="s">
        <v>144</v>
      </c>
    </row>
    <row r="166" spans="2:64" s="6" customFormat="1" ht="27" customHeight="1">
      <c r="B166" s="22"/>
      <c r="C166" s="134" t="s">
        <v>149</v>
      </c>
      <c r="D166" s="134" t="s">
        <v>145</v>
      </c>
      <c r="E166" s="135" t="s">
        <v>359</v>
      </c>
      <c r="F166" s="217" t="s">
        <v>360</v>
      </c>
      <c r="G166" s="218"/>
      <c r="H166" s="218"/>
      <c r="I166" s="218"/>
      <c r="J166" s="136" t="s">
        <v>313</v>
      </c>
      <c r="K166" s="137">
        <v>1.946</v>
      </c>
      <c r="L166" s="219">
        <v>0</v>
      </c>
      <c r="M166" s="218"/>
      <c r="N166" s="220">
        <f>ROUND($L$166*$K$166,2)</f>
        <v>0</v>
      </c>
      <c r="O166" s="218"/>
      <c r="P166" s="218"/>
      <c r="Q166" s="218"/>
      <c r="R166" s="24"/>
      <c r="T166" s="138"/>
      <c r="U166" s="30" t="s">
        <v>38</v>
      </c>
      <c r="V166" s="139">
        <v>9.671</v>
      </c>
      <c r="W166" s="139">
        <f>$V$166*$K$166</f>
        <v>18.819765999999998</v>
      </c>
      <c r="X166" s="139">
        <v>0</v>
      </c>
      <c r="Y166" s="139">
        <f>$X$166*$K$166</f>
        <v>0</v>
      </c>
      <c r="Z166" s="139">
        <v>2.4</v>
      </c>
      <c r="AA166" s="140">
        <f>$Z$166*$K$166</f>
        <v>4.6704</v>
      </c>
      <c r="AR166" s="6" t="s">
        <v>156</v>
      </c>
      <c r="AT166" s="6" t="s">
        <v>145</v>
      </c>
      <c r="AU166" s="6" t="s">
        <v>103</v>
      </c>
      <c r="AY166" s="6" t="s">
        <v>144</v>
      </c>
      <c r="BE166" s="88">
        <f>IF($U$166="základní",$N$166,0)</f>
        <v>0</v>
      </c>
      <c r="BF166" s="88">
        <f>IF($U$166="snížená",$N$166,0)</f>
        <v>0</v>
      </c>
      <c r="BG166" s="88">
        <f>IF($U$166="zákl. přenesená",$N$166,0)</f>
        <v>0</v>
      </c>
      <c r="BH166" s="88">
        <f>IF($U$166="sníž. přenesená",$N$166,0)</f>
        <v>0</v>
      </c>
      <c r="BI166" s="88">
        <f>IF($U$166="nulová",$N$166,0)</f>
        <v>0</v>
      </c>
      <c r="BJ166" s="6" t="s">
        <v>17</v>
      </c>
      <c r="BK166" s="88">
        <f>ROUND($L$166*$K$166,2)</f>
        <v>0</v>
      </c>
      <c r="BL166" s="6" t="s">
        <v>156</v>
      </c>
    </row>
    <row r="167" spans="2:51" s="6" customFormat="1" ht="27" customHeight="1">
      <c r="B167" s="146"/>
      <c r="C167" s="147"/>
      <c r="D167" s="147"/>
      <c r="E167" s="147"/>
      <c r="F167" s="226" t="s">
        <v>361</v>
      </c>
      <c r="G167" s="227"/>
      <c r="H167" s="227"/>
      <c r="I167" s="227"/>
      <c r="J167" s="147"/>
      <c r="K167" s="148">
        <v>1.946</v>
      </c>
      <c r="L167" s="147"/>
      <c r="M167" s="147"/>
      <c r="N167" s="147"/>
      <c r="O167" s="147"/>
      <c r="P167" s="147"/>
      <c r="Q167" s="147"/>
      <c r="R167" s="149"/>
      <c r="T167" s="150"/>
      <c r="U167" s="147"/>
      <c r="V167" s="147"/>
      <c r="W167" s="147"/>
      <c r="X167" s="147"/>
      <c r="Y167" s="147"/>
      <c r="Z167" s="147"/>
      <c r="AA167" s="151"/>
      <c r="AT167" s="152" t="s">
        <v>315</v>
      </c>
      <c r="AU167" s="152" t="s">
        <v>103</v>
      </c>
      <c r="AV167" s="152" t="s">
        <v>103</v>
      </c>
      <c r="AW167" s="152" t="s">
        <v>113</v>
      </c>
      <c r="AX167" s="152" t="s">
        <v>17</v>
      </c>
      <c r="AY167" s="152" t="s">
        <v>144</v>
      </c>
    </row>
    <row r="168" spans="2:64" s="6" customFormat="1" ht="27" customHeight="1">
      <c r="B168" s="22"/>
      <c r="C168" s="134" t="s">
        <v>193</v>
      </c>
      <c r="D168" s="134" t="s">
        <v>145</v>
      </c>
      <c r="E168" s="135" t="s">
        <v>362</v>
      </c>
      <c r="F168" s="217" t="s">
        <v>363</v>
      </c>
      <c r="G168" s="218"/>
      <c r="H168" s="218"/>
      <c r="I168" s="218"/>
      <c r="J168" s="136" t="s">
        <v>328</v>
      </c>
      <c r="K168" s="137">
        <v>2.43</v>
      </c>
      <c r="L168" s="219">
        <v>0</v>
      </c>
      <c r="M168" s="218"/>
      <c r="N168" s="220">
        <f>ROUND($L$168*$K$168,2)</f>
        <v>0</v>
      </c>
      <c r="O168" s="218"/>
      <c r="P168" s="218"/>
      <c r="Q168" s="218"/>
      <c r="R168" s="24"/>
      <c r="T168" s="138"/>
      <c r="U168" s="30" t="s">
        <v>38</v>
      </c>
      <c r="V168" s="139">
        <v>0.7</v>
      </c>
      <c r="W168" s="139">
        <f>$V$168*$K$168</f>
        <v>1.701</v>
      </c>
      <c r="X168" s="139">
        <v>0</v>
      </c>
      <c r="Y168" s="139">
        <f>$X$168*$K$168</f>
        <v>0</v>
      </c>
      <c r="Z168" s="139">
        <v>0.048</v>
      </c>
      <c r="AA168" s="140">
        <f>$Z$168*$K$168</f>
        <v>0.11664000000000001</v>
      </c>
      <c r="AR168" s="6" t="s">
        <v>156</v>
      </c>
      <c r="AT168" s="6" t="s">
        <v>145</v>
      </c>
      <c r="AU168" s="6" t="s">
        <v>103</v>
      </c>
      <c r="AY168" s="6" t="s">
        <v>144</v>
      </c>
      <c r="BE168" s="88">
        <f>IF($U$168="základní",$N$168,0)</f>
        <v>0</v>
      </c>
      <c r="BF168" s="88">
        <f>IF($U$168="snížená",$N$168,0)</f>
        <v>0</v>
      </c>
      <c r="BG168" s="88">
        <f>IF($U$168="zákl. přenesená",$N$168,0)</f>
        <v>0</v>
      </c>
      <c r="BH168" s="88">
        <f>IF($U$168="sníž. přenesená",$N$168,0)</f>
        <v>0</v>
      </c>
      <c r="BI168" s="88">
        <f>IF($U$168="nulová",$N$168,0)</f>
        <v>0</v>
      </c>
      <c r="BJ168" s="6" t="s">
        <v>17</v>
      </c>
      <c r="BK168" s="88">
        <f>ROUND($L$168*$K$168,2)</f>
        <v>0</v>
      </c>
      <c r="BL168" s="6" t="s">
        <v>156</v>
      </c>
    </row>
    <row r="169" spans="2:51" s="6" customFormat="1" ht="15.75" customHeight="1">
      <c r="B169" s="146"/>
      <c r="C169" s="147"/>
      <c r="D169" s="147"/>
      <c r="E169" s="147"/>
      <c r="F169" s="226" t="s">
        <v>364</v>
      </c>
      <c r="G169" s="227"/>
      <c r="H169" s="227"/>
      <c r="I169" s="227"/>
      <c r="J169" s="147"/>
      <c r="K169" s="148">
        <v>2.43</v>
      </c>
      <c r="L169" s="147"/>
      <c r="M169" s="147"/>
      <c r="N169" s="147"/>
      <c r="O169" s="147"/>
      <c r="P169" s="147"/>
      <c r="Q169" s="147"/>
      <c r="R169" s="149"/>
      <c r="T169" s="150"/>
      <c r="U169" s="147"/>
      <c r="V169" s="147"/>
      <c r="W169" s="147"/>
      <c r="X169" s="147"/>
      <c r="Y169" s="147"/>
      <c r="Z169" s="147"/>
      <c r="AA169" s="151"/>
      <c r="AT169" s="152" t="s">
        <v>315</v>
      </c>
      <c r="AU169" s="152" t="s">
        <v>103</v>
      </c>
      <c r="AV169" s="152" t="s">
        <v>103</v>
      </c>
      <c r="AW169" s="152" t="s">
        <v>113</v>
      </c>
      <c r="AX169" s="152" t="s">
        <v>17</v>
      </c>
      <c r="AY169" s="152" t="s">
        <v>144</v>
      </c>
    </row>
    <row r="170" spans="2:64" s="6" customFormat="1" ht="27" customHeight="1">
      <c r="B170" s="22"/>
      <c r="C170" s="134" t="s">
        <v>196</v>
      </c>
      <c r="D170" s="134" t="s">
        <v>145</v>
      </c>
      <c r="E170" s="135" t="s">
        <v>365</v>
      </c>
      <c r="F170" s="217" t="s">
        <v>366</v>
      </c>
      <c r="G170" s="218"/>
      <c r="H170" s="218"/>
      <c r="I170" s="218"/>
      <c r="J170" s="136" t="s">
        <v>328</v>
      </c>
      <c r="K170" s="137">
        <v>1.885</v>
      </c>
      <c r="L170" s="219">
        <v>0</v>
      </c>
      <c r="M170" s="218"/>
      <c r="N170" s="220">
        <f>ROUND($L$170*$K$170,2)</f>
        <v>0</v>
      </c>
      <c r="O170" s="218"/>
      <c r="P170" s="218"/>
      <c r="Q170" s="218"/>
      <c r="R170" s="24"/>
      <c r="T170" s="138"/>
      <c r="U170" s="30" t="s">
        <v>38</v>
      </c>
      <c r="V170" s="139">
        <v>0.471</v>
      </c>
      <c r="W170" s="139">
        <f>$V$170*$K$170</f>
        <v>0.8878349999999999</v>
      </c>
      <c r="X170" s="139">
        <v>0</v>
      </c>
      <c r="Y170" s="139">
        <f>$X$170*$K$170</f>
        <v>0</v>
      </c>
      <c r="Z170" s="139">
        <v>0.038</v>
      </c>
      <c r="AA170" s="140">
        <f>$Z$170*$K$170</f>
        <v>0.07163</v>
      </c>
      <c r="AR170" s="6" t="s">
        <v>156</v>
      </c>
      <c r="AT170" s="6" t="s">
        <v>145</v>
      </c>
      <c r="AU170" s="6" t="s">
        <v>103</v>
      </c>
      <c r="AY170" s="6" t="s">
        <v>144</v>
      </c>
      <c r="BE170" s="88">
        <f>IF($U$170="základní",$N$170,0)</f>
        <v>0</v>
      </c>
      <c r="BF170" s="88">
        <f>IF($U$170="snížená",$N$170,0)</f>
        <v>0</v>
      </c>
      <c r="BG170" s="88">
        <f>IF($U$170="zákl. přenesená",$N$170,0)</f>
        <v>0</v>
      </c>
      <c r="BH170" s="88">
        <f>IF($U$170="sníž. přenesená",$N$170,0)</f>
        <v>0</v>
      </c>
      <c r="BI170" s="88">
        <f>IF($U$170="nulová",$N$170,0)</f>
        <v>0</v>
      </c>
      <c r="BJ170" s="6" t="s">
        <v>17</v>
      </c>
      <c r="BK170" s="88">
        <f>ROUND($L$170*$K$170,2)</f>
        <v>0</v>
      </c>
      <c r="BL170" s="6" t="s">
        <v>156</v>
      </c>
    </row>
    <row r="171" spans="2:51" s="6" customFormat="1" ht="15.75" customHeight="1">
      <c r="B171" s="146"/>
      <c r="C171" s="147"/>
      <c r="D171" s="147"/>
      <c r="E171" s="147"/>
      <c r="F171" s="226" t="s">
        <v>367</v>
      </c>
      <c r="G171" s="227"/>
      <c r="H171" s="227"/>
      <c r="I171" s="227"/>
      <c r="J171" s="147"/>
      <c r="K171" s="148">
        <v>1.885</v>
      </c>
      <c r="L171" s="147"/>
      <c r="M171" s="147"/>
      <c r="N171" s="147"/>
      <c r="O171" s="147"/>
      <c r="P171" s="147"/>
      <c r="Q171" s="147"/>
      <c r="R171" s="149"/>
      <c r="T171" s="150"/>
      <c r="U171" s="147"/>
      <c r="V171" s="147"/>
      <c r="W171" s="147"/>
      <c r="X171" s="147"/>
      <c r="Y171" s="147"/>
      <c r="Z171" s="147"/>
      <c r="AA171" s="151"/>
      <c r="AT171" s="152" t="s">
        <v>315</v>
      </c>
      <c r="AU171" s="152" t="s">
        <v>103</v>
      </c>
      <c r="AV171" s="152" t="s">
        <v>103</v>
      </c>
      <c r="AW171" s="152" t="s">
        <v>113</v>
      </c>
      <c r="AX171" s="152" t="s">
        <v>17</v>
      </c>
      <c r="AY171" s="152" t="s">
        <v>144</v>
      </c>
    </row>
    <row r="172" spans="2:64" s="6" customFormat="1" ht="27" customHeight="1">
      <c r="B172" s="22"/>
      <c r="C172" s="134" t="s">
        <v>199</v>
      </c>
      <c r="D172" s="134" t="s">
        <v>145</v>
      </c>
      <c r="E172" s="135" t="s">
        <v>368</v>
      </c>
      <c r="F172" s="217" t="s">
        <v>369</v>
      </c>
      <c r="G172" s="218"/>
      <c r="H172" s="218"/>
      <c r="I172" s="218"/>
      <c r="J172" s="136" t="s">
        <v>328</v>
      </c>
      <c r="K172" s="137">
        <v>34.65</v>
      </c>
      <c r="L172" s="219">
        <v>0</v>
      </c>
      <c r="M172" s="218"/>
      <c r="N172" s="220">
        <f>ROUND($L$172*$K$172,2)</f>
        <v>0</v>
      </c>
      <c r="O172" s="218"/>
      <c r="P172" s="218"/>
      <c r="Q172" s="218"/>
      <c r="R172" s="24"/>
      <c r="T172" s="138"/>
      <c r="U172" s="30" t="s">
        <v>38</v>
      </c>
      <c r="V172" s="139">
        <v>0.383</v>
      </c>
      <c r="W172" s="139">
        <f>$V$172*$K$172</f>
        <v>13.27095</v>
      </c>
      <c r="X172" s="139">
        <v>0</v>
      </c>
      <c r="Y172" s="139">
        <f>$X$172*$K$172</f>
        <v>0</v>
      </c>
      <c r="Z172" s="139">
        <v>0.034</v>
      </c>
      <c r="AA172" s="140">
        <f>$Z$172*$K$172</f>
        <v>1.1781000000000001</v>
      </c>
      <c r="AR172" s="6" t="s">
        <v>156</v>
      </c>
      <c r="AT172" s="6" t="s">
        <v>145</v>
      </c>
      <c r="AU172" s="6" t="s">
        <v>103</v>
      </c>
      <c r="AY172" s="6" t="s">
        <v>144</v>
      </c>
      <c r="BE172" s="88">
        <f>IF($U$172="základní",$N$172,0)</f>
        <v>0</v>
      </c>
      <c r="BF172" s="88">
        <f>IF($U$172="snížená",$N$172,0)</f>
        <v>0</v>
      </c>
      <c r="BG172" s="88">
        <f>IF($U$172="zákl. přenesená",$N$172,0)</f>
        <v>0</v>
      </c>
      <c r="BH172" s="88">
        <f>IF($U$172="sníž. přenesená",$N$172,0)</f>
        <v>0</v>
      </c>
      <c r="BI172" s="88">
        <f>IF($U$172="nulová",$N$172,0)</f>
        <v>0</v>
      </c>
      <c r="BJ172" s="6" t="s">
        <v>17</v>
      </c>
      <c r="BK172" s="88">
        <f>ROUND($L$172*$K$172,2)</f>
        <v>0</v>
      </c>
      <c r="BL172" s="6" t="s">
        <v>156</v>
      </c>
    </row>
    <row r="173" spans="2:51" s="6" customFormat="1" ht="15.75" customHeight="1">
      <c r="B173" s="146"/>
      <c r="C173" s="147"/>
      <c r="D173" s="147"/>
      <c r="E173" s="147"/>
      <c r="F173" s="226" t="s">
        <v>370</v>
      </c>
      <c r="G173" s="227"/>
      <c r="H173" s="227"/>
      <c r="I173" s="227"/>
      <c r="J173" s="147"/>
      <c r="K173" s="148">
        <v>34.65</v>
      </c>
      <c r="L173" s="147"/>
      <c r="M173" s="147"/>
      <c r="N173" s="147"/>
      <c r="O173" s="147"/>
      <c r="P173" s="147"/>
      <c r="Q173" s="147"/>
      <c r="R173" s="149"/>
      <c r="T173" s="150"/>
      <c r="U173" s="147"/>
      <c r="V173" s="147"/>
      <c r="W173" s="147"/>
      <c r="X173" s="147"/>
      <c r="Y173" s="147"/>
      <c r="Z173" s="147"/>
      <c r="AA173" s="151"/>
      <c r="AT173" s="152" t="s">
        <v>315</v>
      </c>
      <c r="AU173" s="152" t="s">
        <v>103</v>
      </c>
      <c r="AV173" s="152" t="s">
        <v>103</v>
      </c>
      <c r="AW173" s="152" t="s">
        <v>113</v>
      </c>
      <c r="AX173" s="152" t="s">
        <v>17</v>
      </c>
      <c r="AY173" s="152" t="s">
        <v>144</v>
      </c>
    </row>
    <row r="174" spans="2:64" s="6" customFormat="1" ht="27" customHeight="1">
      <c r="B174" s="22"/>
      <c r="C174" s="134" t="s">
        <v>202</v>
      </c>
      <c r="D174" s="134" t="s">
        <v>145</v>
      </c>
      <c r="E174" s="135" t="s">
        <v>371</v>
      </c>
      <c r="F174" s="217" t="s">
        <v>372</v>
      </c>
      <c r="G174" s="218"/>
      <c r="H174" s="218"/>
      <c r="I174" s="218"/>
      <c r="J174" s="136" t="s">
        <v>328</v>
      </c>
      <c r="K174" s="137">
        <v>40.976</v>
      </c>
      <c r="L174" s="219">
        <v>0</v>
      </c>
      <c r="M174" s="218"/>
      <c r="N174" s="220">
        <f>ROUND($L$174*$K$174,2)</f>
        <v>0</v>
      </c>
      <c r="O174" s="218"/>
      <c r="P174" s="218"/>
      <c r="Q174" s="218"/>
      <c r="R174" s="24"/>
      <c r="T174" s="138"/>
      <c r="U174" s="30" t="s">
        <v>38</v>
      </c>
      <c r="V174" s="139">
        <v>0.939</v>
      </c>
      <c r="W174" s="139">
        <f>$V$174*$K$174</f>
        <v>38.476464</v>
      </c>
      <c r="X174" s="139">
        <v>0</v>
      </c>
      <c r="Y174" s="139">
        <f>$X$174*$K$174</f>
        <v>0</v>
      </c>
      <c r="Z174" s="139">
        <v>0.076</v>
      </c>
      <c r="AA174" s="140">
        <f>$Z$174*$K$174</f>
        <v>3.114176</v>
      </c>
      <c r="AR174" s="6" t="s">
        <v>156</v>
      </c>
      <c r="AT174" s="6" t="s">
        <v>145</v>
      </c>
      <c r="AU174" s="6" t="s">
        <v>103</v>
      </c>
      <c r="AY174" s="6" t="s">
        <v>144</v>
      </c>
      <c r="BE174" s="88">
        <f>IF($U$174="základní",$N$174,0)</f>
        <v>0</v>
      </c>
      <c r="BF174" s="88">
        <f>IF($U$174="snížená",$N$174,0)</f>
        <v>0</v>
      </c>
      <c r="BG174" s="88">
        <f>IF($U$174="zákl. přenesená",$N$174,0)</f>
        <v>0</v>
      </c>
      <c r="BH174" s="88">
        <f>IF($U$174="sníž. přenesená",$N$174,0)</f>
        <v>0</v>
      </c>
      <c r="BI174" s="88">
        <f>IF($U$174="nulová",$N$174,0)</f>
        <v>0</v>
      </c>
      <c r="BJ174" s="6" t="s">
        <v>17</v>
      </c>
      <c r="BK174" s="88">
        <f>ROUND($L$174*$K$174,2)</f>
        <v>0</v>
      </c>
      <c r="BL174" s="6" t="s">
        <v>156</v>
      </c>
    </row>
    <row r="175" spans="2:51" s="6" customFormat="1" ht="15.75" customHeight="1">
      <c r="B175" s="146"/>
      <c r="C175" s="147"/>
      <c r="D175" s="147"/>
      <c r="E175" s="147"/>
      <c r="F175" s="226" t="s">
        <v>373</v>
      </c>
      <c r="G175" s="227"/>
      <c r="H175" s="227"/>
      <c r="I175" s="227"/>
      <c r="J175" s="147"/>
      <c r="K175" s="148">
        <v>40.976</v>
      </c>
      <c r="L175" s="147"/>
      <c r="M175" s="147"/>
      <c r="N175" s="147"/>
      <c r="O175" s="147"/>
      <c r="P175" s="147"/>
      <c r="Q175" s="147"/>
      <c r="R175" s="149"/>
      <c r="T175" s="150"/>
      <c r="U175" s="147"/>
      <c r="V175" s="147"/>
      <c r="W175" s="147"/>
      <c r="X175" s="147"/>
      <c r="Y175" s="147"/>
      <c r="Z175" s="147"/>
      <c r="AA175" s="151"/>
      <c r="AT175" s="152" t="s">
        <v>315</v>
      </c>
      <c r="AU175" s="152" t="s">
        <v>103</v>
      </c>
      <c r="AV175" s="152" t="s">
        <v>103</v>
      </c>
      <c r="AW175" s="152" t="s">
        <v>113</v>
      </c>
      <c r="AX175" s="152" t="s">
        <v>17</v>
      </c>
      <c r="AY175" s="152" t="s">
        <v>144</v>
      </c>
    </row>
    <row r="176" spans="2:64" s="6" customFormat="1" ht="15.75" customHeight="1">
      <c r="B176" s="22"/>
      <c r="C176" s="134" t="s">
        <v>7</v>
      </c>
      <c r="D176" s="134" t="s">
        <v>145</v>
      </c>
      <c r="E176" s="135" t="s">
        <v>374</v>
      </c>
      <c r="F176" s="217" t="s">
        <v>375</v>
      </c>
      <c r="G176" s="218"/>
      <c r="H176" s="218"/>
      <c r="I176" s="218"/>
      <c r="J176" s="136" t="s">
        <v>328</v>
      </c>
      <c r="K176" s="137">
        <v>57.87</v>
      </c>
      <c r="L176" s="219">
        <v>0</v>
      </c>
      <c r="M176" s="218"/>
      <c r="N176" s="220">
        <f>ROUND($L$176*$K$176,2)</f>
        <v>0</v>
      </c>
      <c r="O176" s="218"/>
      <c r="P176" s="218"/>
      <c r="Q176" s="218"/>
      <c r="R176" s="24"/>
      <c r="T176" s="138"/>
      <c r="U176" s="30" t="s">
        <v>38</v>
      </c>
      <c r="V176" s="139">
        <v>0.223</v>
      </c>
      <c r="W176" s="139">
        <f>$V$176*$K$176</f>
        <v>12.905009999999999</v>
      </c>
      <c r="X176" s="139">
        <v>0</v>
      </c>
      <c r="Y176" s="139">
        <f>$X$176*$K$176</f>
        <v>0</v>
      </c>
      <c r="Z176" s="139">
        <v>0.002</v>
      </c>
      <c r="AA176" s="140">
        <f>$Z$176*$K$176</f>
        <v>0.11574</v>
      </c>
      <c r="AR176" s="6" t="s">
        <v>156</v>
      </c>
      <c r="AT176" s="6" t="s">
        <v>145</v>
      </c>
      <c r="AU176" s="6" t="s">
        <v>103</v>
      </c>
      <c r="AY176" s="6" t="s">
        <v>144</v>
      </c>
      <c r="BE176" s="88">
        <f>IF($U$176="základní",$N$176,0)</f>
        <v>0</v>
      </c>
      <c r="BF176" s="88">
        <f>IF($U$176="snížená",$N$176,0)</f>
        <v>0</v>
      </c>
      <c r="BG176" s="88">
        <f>IF($U$176="zákl. přenesená",$N$176,0)</f>
        <v>0</v>
      </c>
      <c r="BH176" s="88">
        <f>IF($U$176="sníž. přenesená",$N$176,0)</f>
        <v>0</v>
      </c>
      <c r="BI176" s="88">
        <f>IF($U$176="nulová",$N$176,0)</f>
        <v>0</v>
      </c>
      <c r="BJ176" s="6" t="s">
        <v>17</v>
      </c>
      <c r="BK176" s="88">
        <f>ROUND($L$176*$K$176,2)</f>
        <v>0</v>
      </c>
      <c r="BL176" s="6" t="s">
        <v>156</v>
      </c>
    </row>
    <row r="177" spans="2:51" s="6" customFormat="1" ht="15.75" customHeight="1">
      <c r="B177" s="146"/>
      <c r="C177" s="147"/>
      <c r="D177" s="147"/>
      <c r="E177" s="147"/>
      <c r="F177" s="226" t="s">
        <v>376</v>
      </c>
      <c r="G177" s="227"/>
      <c r="H177" s="227"/>
      <c r="I177" s="227"/>
      <c r="J177" s="147"/>
      <c r="K177" s="148">
        <v>57.87</v>
      </c>
      <c r="L177" s="147"/>
      <c r="M177" s="147"/>
      <c r="N177" s="147"/>
      <c r="O177" s="147"/>
      <c r="P177" s="147"/>
      <c r="Q177" s="147"/>
      <c r="R177" s="149"/>
      <c r="T177" s="150"/>
      <c r="U177" s="147"/>
      <c r="V177" s="147"/>
      <c r="W177" s="147"/>
      <c r="X177" s="147"/>
      <c r="Y177" s="147"/>
      <c r="Z177" s="147"/>
      <c r="AA177" s="151"/>
      <c r="AT177" s="152" t="s">
        <v>315</v>
      </c>
      <c r="AU177" s="152" t="s">
        <v>103</v>
      </c>
      <c r="AV177" s="152" t="s">
        <v>103</v>
      </c>
      <c r="AW177" s="152" t="s">
        <v>113</v>
      </c>
      <c r="AX177" s="152" t="s">
        <v>17</v>
      </c>
      <c r="AY177" s="152" t="s">
        <v>144</v>
      </c>
    </row>
    <row r="178" spans="2:64" s="6" customFormat="1" ht="27" customHeight="1">
      <c r="B178" s="22"/>
      <c r="C178" s="134" t="s">
        <v>207</v>
      </c>
      <c r="D178" s="134" t="s">
        <v>145</v>
      </c>
      <c r="E178" s="135" t="s">
        <v>377</v>
      </c>
      <c r="F178" s="217" t="s">
        <v>378</v>
      </c>
      <c r="G178" s="218"/>
      <c r="H178" s="218"/>
      <c r="I178" s="218"/>
      <c r="J178" s="136" t="s">
        <v>328</v>
      </c>
      <c r="K178" s="137">
        <v>5.04</v>
      </c>
      <c r="L178" s="219">
        <v>0</v>
      </c>
      <c r="M178" s="218"/>
      <c r="N178" s="220">
        <f>ROUND($L$178*$K$178,2)</f>
        <v>0</v>
      </c>
      <c r="O178" s="218"/>
      <c r="P178" s="218"/>
      <c r="Q178" s="218"/>
      <c r="R178" s="24"/>
      <c r="T178" s="138"/>
      <c r="U178" s="30" t="s">
        <v>38</v>
      </c>
      <c r="V178" s="139">
        <v>0.51</v>
      </c>
      <c r="W178" s="139">
        <f>$V$178*$K$178</f>
        <v>2.5704000000000002</v>
      </c>
      <c r="X178" s="139">
        <v>0</v>
      </c>
      <c r="Y178" s="139">
        <f>$X$178*$K$178</f>
        <v>0</v>
      </c>
      <c r="Z178" s="139">
        <v>0.043</v>
      </c>
      <c r="AA178" s="140">
        <f>$Z$178*$K$178</f>
        <v>0.21672</v>
      </c>
      <c r="AR178" s="6" t="s">
        <v>156</v>
      </c>
      <c r="AT178" s="6" t="s">
        <v>145</v>
      </c>
      <c r="AU178" s="6" t="s">
        <v>103</v>
      </c>
      <c r="AY178" s="6" t="s">
        <v>144</v>
      </c>
      <c r="BE178" s="88">
        <f>IF($U$178="základní",$N$178,0)</f>
        <v>0</v>
      </c>
      <c r="BF178" s="88">
        <f>IF($U$178="snížená",$N$178,0)</f>
        <v>0</v>
      </c>
      <c r="BG178" s="88">
        <f>IF($U$178="zákl. přenesená",$N$178,0)</f>
        <v>0</v>
      </c>
      <c r="BH178" s="88">
        <f>IF($U$178="sníž. přenesená",$N$178,0)</f>
        <v>0</v>
      </c>
      <c r="BI178" s="88">
        <f>IF($U$178="nulová",$N$178,0)</f>
        <v>0</v>
      </c>
      <c r="BJ178" s="6" t="s">
        <v>17</v>
      </c>
      <c r="BK178" s="88">
        <f>ROUND($L$178*$K$178,2)</f>
        <v>0</v>
      </c>
      <c r="BL178" s="6" t="s">
        <v>156</v>
      </c>
    </row>
    <row r="179" spans="2:51" s="6" customFormat="1" ht="15.75" customHeight="1">
      <c r="B179" s="146"/>
      <c r="C179" s="147"/>
      <c r="D179" s="147"/>
      <c r="E179" s="147"/>
      <c r="F179" s="226" t="s">
        <v>379</v>
      </c>
      <c r="G179" s="227"/>
      <c r="H179" s="227"/>
      <c r="I179" s="227"/>
      <c r="J179" s="147"/>
      <c r="K179" s="148">
        <v>5.04</v>
      </c>
      <c r="L179" s="147"/>
      <c r="M179" s="147"/>
      <c r="N179" s="147"/>
      <c r="O179" s="147"/>
      <c r="P179" s="147"/>
      <c r="Q179" s="147"/>
      <c r="R179" s="149"/>
      <c r="T179" s="150"/>
      <c r="U179" s="147"/>
      <c r="V179" s="147"/>
      <c r="W179" s="147"/>
      <c r="X179" s="147"/>
      <c r="Y179" s="147"/>
      <c r="Z179" s="147"/>
      <c r="AA179" s="151"/>
      <c r="AT179" s="152" t="s">
        <v>315</v>
      </c>
      <c r="AU179" s="152" t="s">
        <v>103</v>
      </c>
      <c r="AV179" s="152" t="s">
        <v>103</v>
      </c>
      <c r="AW179" s="152" t="s">
        <v>113</v>
      </c>
      <c r="AX179" s="152" t="s">
        <v>17</v>
      </c>
      <c r="AY179" s="152" t="s">
        <v>144</v>
      </c>
    </row>
    <row r="180" spans="2:64" s="6" customFormat="1" ht="27" customHeight="1">
      <c r="B180" s="22"/>
      <c r="C180" s="134" t="s">
        <v>210</v>
      </c>
      <c r="D180" s="134" t="s">
        <v>145</v>
      </c>
      <c r="E180" s="135" t="s">
        <v>380</v>
      </c>
      <c r="F180" s="217" t="s">
        <v>381</v>
      </c>
      <c r="G180" s="218"/>
      <c r="H180" s="218"/>
      <c r="I180" s="218"/>
      <c r="J180" s="136" t="s">
        <v>313</v>
      </c>
      <c r="K180" s="137">
        <v>10.734</v>
      </c>
      <c r="L180" s="219">
        <v>0</v>
      </c>
      <c r="M180" s="218"/>
      <c r="N180" s="220">
        <f>ROUND($L$180*$K$180,2)</f>
        <v>0</v>
      </c>
      <c r="O180" s="218"/>
      <c r="P180" s="218"/>
      <c r="Q180" s="218"/>
      <c r="R180" s="24"/>
      <c r="T180" s="138"/>
      <c r="U180" s="30" t="s">
        <v>38</v>
      </c>
      <c r="V180" s="139">
        <v>3.608</v>
      </c>
      <c r="W180" s="139">
        <f>$V$180*$K$180</f>
        <v>38.728272000000004</v>
      </c>
      <c r="X180" s="139">
        <v>0</v>
      </c>
      <c r="Y180" s="139">
        <f>$X$180*$K$180</f>
        <v>0</v>
      </c>
      <c r="Z180" s="139">
        <v>1.8</v>
      </c>
      <c r="AA180" s="140">
        <f>$Z$180*$K$180</f>
        <v>19.3212</v>
      </c>
      <c r="AR180" s="6" t="s">
        <v>156</v>
      </c>
      <c r="AT180" s="6" t="s">
        <v>145</v>
      </c>
      <c r="AU180" s="6" t="s">
        <v>103</v>
      </c>
      <c r="AY180" s="6" t="s">
        <v>144</v>
      </c>
      <c r="BE180" s="88">
        <f>IF($U$180="základní",$N$180,0)</f>
        <v>0</v>
      </c>
      <c r="BF180" s="88">
        <f>IF($U$180="snížená",$N$180,0)</f>
        <v>0</v>
      </c>
      <c r="BG180" s="88">
        <f>IF($U$180="zákl. přenesená",$N$180,0)</f>
        <v>0</v>
      </c>
      <c r="BH180" s="88">
        <f>IF($U$180="sníž. přenesená",$N$180,0)</f>
        <v>0</v>
      </c>
      <c r="BI180" s="88">
        <f>IF($U$180="nulová",$N$180,0)</f>
        <v>0</v>
      </c>
      <c r="BJ180" s="6" t="s">
        <v>17</v>
      </c>
      <c r="BK180" s="88">
        <f>ROUND($L$180*$K$180,2)</f>
        <v>0</v>
      </c>
      <c r="BL180" s="6" t="s">
        <v>156</v>
      </c>
    </row>
    <row r="181" spans="2:51" s="6" customFormat="1" ht="27" customHeight="1">
      <c r="B181" s="146"/>
      <c r="C181" s="147"/>
      <c r="D181" s="147"/>
      <c r="E181" s="147"/>
      <c r="F181" s="226" t="s">
        <v>382</v>
      </c>
      <c r="G181" s="227"/>
      <c r="H181" s="227"/>
      <c r="I181" s="227"/>
      <c r="J181" s="147"/>
      <c r="K181" s="148">
        <v>10.734</v>
      </c>
      <c r="L181" s="147"/>
      <c r="M181" s="147"/>
      <c r="N181" s="147"/>
      <c r="O181" s="147"/>
      <c r="P181" s="147"/>
      <c r="Q181" s="147"/>
      <c r="R181" s="149"/>
      <c r="T181" s="150"/>
      <c r="U181" s="147"/>
      <c r="V181" s="147"/>
      <c r="W181" s="147"/>
      <c r="X181" s="147"/>
      <c r="Y181" s="147"/>
      <c r="Z181" s="147"/>
      <c r="AA181" s="151"/>
      <c r="AT181" s="152" t="s">
        <v>315</v>
      </c>
      <c r="AU181" s="152" t="s">
        <v>103</v>
      </c>
      <c r="AV181" s="152" t="s">
        <v>103</v>
      </c>
      <c r="AW181" s="152" t="s">
        <v>113</v>
      </c>
      <c r="AX181" s="152" t="s">
        <v>17</v>
      </c>
      <c r="AY181" s="152" t="s">
        <v>144</v>
      </c>
    </row>
    <row r="182" spans="2:64" s="6" customFormat="1" ht="27" customHeight="1">
      <c r="B182" s="22"/>
      <c r="C182" s="134" t="s">
        <v>213</v>
      </c>
      <c r="D182" s="134" t="s">
        <v>145</v>
      </c>
      <c r="E182" s="135" t="s">
        <v>383</v>
      </c>
      <c r="F182" s="217" t="s">
        <v>384</v>
      </c>
      <c r="G182" s="218"/>
      <c r="H182" s="218"/>
      <c r="I182" s="218"/>
      <c r="J182" s="136" t="s">
        <v>148</v>
      </c>
      <c r="K182" s="137">
        <v>15.4</v>
      </c>
      <c r="L182" s="219">
        <v>0</v>
      </c>
      <c r="M182" s="218"/>
      <c r="N182" s="220">
        <f>ROUND($L$182*$K$182,2)</f>
        <v>0</v>
      </c>
      <c r="O182" s="218"/>
      <c r="P182" s="218"/>
      <c r="Q182" s="218"/>
      <c r="R182" s="24"/>
      <c r="T182" s="138"/>
      <c r="U182" s="30" t="s">
        <v>38</v>
      </c>
      <c r="V182" s="139">
        <v>0.668</v>
      </c>
      <c r="W182" s="139">
        <f>$V$182*$K$182</f>
        <v>10.2872</v>
      </c>
      <c r="X182" s="139">
        <v>0</v>
      </c>
      <c r="Y182" s="139">
        <f>$X$182*$K$182</f>
        <v>0</v>
      </c>
      <c r="Z182" s="139">
        <v>0.04</v>
      </c>
      <c r="AA182" s="140">
        <f>$Z$182*$K$182</f>
        <v>0.616</v>
      </c>
      <c r="AR182" s="6" t="s">
        <v>156</v>
      </c>
      <c r="AT182" s="6" t="s">
        <v>145</v>
      </c>
      <c r="AU182" s="6" t="s">
        <v>103</v>
      </c>
      <c r="AY182" s="6" t="s">
        <v>144</v>
      </c>
      <c r="BE182" s="88">
        <f>IF($U$182="základní",$N$182,0)</f>
        <v>0</v>
      </c>
      <c r="BF182" s="88">
        <f>IF($U$182="snížená",$N$182,0)</f>
        <v>0</v>
      </c>
      <c r="BG182" s="88">
        <f>IF($U$182="zákl. přenesená",$N$182,0)</f>
        <v>0</v>
      </c>
      <c r="BH182" s="88">
        <f>IF($U$182="sníž. přenesená",$N$182,0)</f>
        <v>0</v>
      </c>
      <c r="BI182" s="88">
        <f>IF($U$182="nulová",$N$182,0)</f>
        <v>0</v>
      </c>
      <c r="BJ182" s="6" t="s">
        <v>17</v>
      </c>
      <c r="BK182" s="88">
        <f>ROUND($L$182*$K$182,2)</f>
        <v>0</v>
      </c>
      <c r="BL182" s="6" t="s">
        <v>156</v>
      </c>
    </row>
    <row r="183" spans="2:51" s="6" customFormat="1" ht="15.75" customHeight="1">
      <c r="B183" s="146"/>
      <c r="C183" s="147"/>
      <c r="D183" s="147"/>
      <c r="E183" s="147"/>
      <c r="F183" s="226" t="s">
        <v>385</v>
      </c>
      <c r="G183" s="227"/>
      <c r="H183" s="227"/>
      <c r="I183" s="227"/>
      <c r="J183" s="147"/>
      <c r="K183" s="148">
        <v>15.4</v>
      </c>
      <c r="L183" s="147"/>
      <c r="M183" s="147"/>
      <c r="N183" s="147"/>
      <c r="O183" s="147"/>
      <c r="P183" s="147"/>
      <c r="Q183" s="147"/>
      <c r="R183" s="149"/>
      <c r="T183" s="150"/>
      <c r="U183" s="147"/>
      <c r="V183" s="147"/>
      <c r="W183" s="147"/>
      <c r="X183" s="147"/>
      <c r="Y183" s="147"/>
      <c r="Z183" s="147"/>
      <c r="AA183" s="151"/>
      <c r="AT183" s="152" t="s">
        <v>315</v>
      </c>
      <c r="AU183" s="152" t="s">
        <v>103</v>
      </c>
      <c r="AV183" s="152" t="s">
        <v>103</v>
      </c>
      <c r="AW183" s="152" t="s">
        <v>113</v>
      </c>
      <c r="AX183" s="152" t="s">
        <v>17</v>
      </c>
      <c r="AY183" s="152" t="s">
        <v>144</v>
      </c>
    </row>
    <row r="184" spans="2:64" s="6" customFormat="1" ht="27" customHeight="1">
      <c r="B184" s="22"/>
      <c r="C184" s="134" t="s">
        <v>216</v>
      </c>
      <c r="D184" s="134" t="s">
        <v>145</v>
      </c>
      <c r="E184" s="135" t="s">
        <v>386</v>
      </c>
      <c r="F184" s="217" t="s">
        <v>387</v>
      </c>
      <c r="G184" s="218"/>
      <c r="H184" s="218"/>
      <c r="I184" s="218"/>
      <c r="J184" s="136" t="s">
        <v>148</v>
      </c>
      <c r="K184" s="137">
        <v>15.4</v>
      </c>
      <c r="L184" s="219">
        <v>0</v>
      </c>
      <c r="M184" s="218"/>
      <c r="N184" s="220">
        <f>ROUND($L$184*$K$184,2)</f>
        <v>0</v>
      </c>
      <c r="O184" s="218"/>
      <c r="P184" s="218"/>
      <c r="Q184" s="218"/>
      <c r="R184" s="24"/>
      <c r="T184" s="138"/>
      <c r="U184" s="30" t="s">
        <v>38</v>
      </c>
      <c r="V184" s="139">
        <v>0.18</v>
      </c>
      <c r="W184" s="139">
        <f>$V$184*$K$184</f>
        <v>2.772</v>
      </c>
      <c r="X184" s="139">
        <v>0</v>
      </c>
      <c r="Y184" s="139">
        <f>$X$184*$K$184</f>
        <v>0</v>
      </c>
      <c r="Z184" s="139">
        <v>0.04</v>
      </c>
      <c r="AA184" s="140">
        <f>$Z$184*$K$184</f>
        <v>0.616</v>
      </c>
      <c r="AR184" s="6" t="s">
        <v>156</v>
      </c>
      <c r="AT184" s="6" t="s">
        <v>145</v>
      </c>
      <c r="AU184" s="6" t="s">
        <v>103</v>
      </c>
      <c r="AY184" s="6" t="s">
        <v>144</v>
      </c>
      <c r="BE184" s="88">
        <f>IF($U$184="základní",$N$184,0)</f>
        <v>0</v>
      </c>
      <c r="BF184" s="88">
        <f>IF($U$184="snížená",$N$184,0)</f>
        <v>0</v>
      </c>
      <c r="BG184" s="88">
        <f>IF($U$184="zákl. přenesená",$N$184,0)</f>
        <v>0</v>
      </c>
      <c r="BH184" s="88">
        <f>IF($U$184="sníž. přenesená",$N$184,0)</f>
        <v>0</v>
      </c>
      <c r="BI184" s="88">
        <f>IF($U$184="nulová",$N$184,0)</f>
        <v>0</v>
      </c>
      <c r="BJ184" s="6" t="s">
        <v>17</v>
      </c>
      <c r="BK184" s="88">
        <f>ROUND($L$184*$K$184,2)</f>
        <v>0</v>
      </c>
      <c r="BL184" s="6" t="s">
        <v>156</v>
      </c>
    </row>
    <row r="185" spans="2:51" s="6" customFormat="1" ht="15.75" customHeight="1">
      <c r="B185" s="146"/>
      <c r="C185" s="147"/>
      <c r="D185" s="147"/>
      <c r="E185" s="147"/>
      <c r="F185" s="226" t="s">
        <v>388</v>
      </c>
      <c r="G185" s="227"/>
      <c r="H185" s="227"/>
      <c r="I185" s="227"/>
      <c r="J185" s="147"/>
      <c r="K185" s="148">
        <v>15.4</v>
      </c>
      <c r="L185" s="147"/>
      <c r="M185" s="147"/>
      <c r="N185" s="147"/>
      <c r="O185" s="147"/>
      <c r="P185" s="147"/>
      <c r="Q185" s="147"/>
      <c r="R185" s="149"/>
      <c r="T185" s="150"/>
      <c r="U185" s="147"/>
      <c r="V185" s="147"/>
      <c r="W185" s="147"/>
      <c r="X185" s="147"/>
      <c r="Y185" s="147"/>
      <c r="Z185" s="147"/>
      <c r="AA185" s="151"/>
      <c r="AT185" s="152" t="s">
        <v>315</v>
      </c>
      <c r="AU185" s="152" t="s">
        <v>103</v>
      </c>
      <c r="AV185" s="152" t="s">
        <v>103</v>
      </c>
      <c r="AW185" s="152" t="s">
        <v>113</v>
      </c>
      <c r="AX185" s="152" t="s">
        <v>17</v>
      </c>
      <c r="AY185" s="152" t="s">
        <v>144</v>
      </c>
    </row>
    <row r="186" spans="2:63" s="123" customFormat="1" ht="23.25" customHeight="1">
      <c r="B186" s="124"/>
      <c r="C186" s="125"/>
      <c r="D186" s="133" t="s">
        <v>302</v>
      </c>
      <c r="E186" s="125"/>
      <c r="F186" s="125"/>
      <c r="G186" s="125"/>
      <c r="H186" s="125"/>
      <c r="I186" s="125"/>
      <c r="J186" s="125"/>
      <c r="K186" s="125"/>
      <c r="L186" s="125"/>
      <c r="M186" s="125"/>
      <c r="N186" s="225">
        <f>$BK$186</f>
        <v>0</v>
      </c>
      <c r="O186" s="224"/>
      <c r="P186" s="224"/>
      <c r="Q186" s="224"/>
      <c r="R186" s="127"/>
      <c r="T186" s="128"/>
      <c r="U186" s="125"/>
      <c r="V186" s="125"/>
      <c r="W186" s="129">
        <f>SUM($W$187:$W$190)</f>
        <v>9.972985000000001</v>
      </c>
      <c r="X186" s="125"/>
      <c r="Y186" s="129">
        <f>SUM($Y$187:$Y$190)</f>
        <v>0</v>
      </c>
      <c r="Z186" s="125"/>
      <c r="AA186" s="130">
        <f>SUM($AA$187:$AA$190)</f>
        <v>0</v>
      </c>
      <c r="AR186" s="131" t="s">
        <v>17</v>
      </c>
      <c r="AT186" s="131" t="s">
        <v>72</v>
      </c>
      <c r="AU186" s="131" t="s">
        <v>103</v>
      </c>
      <c r="AY186" s="131" t="s">
        <v>144</v>
      </c>
      <c r="BK186" s="132">
        <f>SUM($BK$187:$BK$190)</f>
        <v>0</v>
      </c>
    </row>
    <row r="187" spans="2:64" s="6" customFormat="1" ht="27" customHeight="1">
      <c r="B187" s="22"/>
      <c r="C187" s="134" t="s">
        <v>219</v>
      </c>
      <c r="D187" s="134" t="s">
        <v>145</v>
      </c>
      <c r="E187" s="135" t="s">
        <v>389</v>
      </c>
      <c r="F187" s="217" t="s">
        <v>390</v>
      </c>
      <c r="G187" s="218"/>
      <c r="H187" s="218"/>
      <c r="I187" s="218"/>
      <c r="J187" s="136" t="s">
        <v>185</v>
      </c>
      <c r="K187" s="137">
        <v>55.715</v>
      </c>
      <c r="L187" s="219">
        <v>0</v>
      </c>
      <c r="M187" s="218"/>
      <c r="N187" s="220">
        <f>ROUND($L$187*$K$187,2)</f>
        <v>0</v>
      </c>
      <c r="O187" s="218"/>
      <c r="P187" s="218"/>
      <c r="Q187" s="218"/>
      <c r="R187" s="24"/>
      <c r="T187" s="138"/>
      <c r="U187" s="30" t="s">
        <v>38</v>
      </c>
      <c r="V187" s="139">
        <v>0.125</v>
      </c>
      <c r="W187" s="139">
        <f>$V$187*$K$187</f>
        <v>6.964375</v>
      </c>
      <c r="X187" s="139">
        <v>0</v>
      </c>
      <c r="Y187" s="139">
        <f>$X$187*$K$187</f>
        <v>0</v>
      </c>
      <c r="Z187" s="139">
        <v>0</v>
      </c>
      <c r="AA187" s="140">
        <f>$Z$187*$K$187</f>
        <v>0</v>
      </c>
      <c r="AR187" s="6" t="s">
        <v>156</v>
      </c>
      <c r="AT187" s="6" t="s">
        <v>145</v>
      </c>
      <c r="AU187" s="6" t="s">
        <v>152</v>
      </c>
      <c r="AY187" s="6" t="s">
        <v>144</v>
      </c>
      <c r="BE187" s="88">
        <f>IF($U$187="základní",$N$187,0)</f>
        <v>0</v>
      </c>
      <c r="BF187" s="88">
        <f>IF($U$187="snížená",$N$187,0)</f>
        <v>0</v>
      </c>
      <c r="BG187" s="88">
        <f>IF($U$187="zákl. přenesená",$N$187,0)</f>
        <v>0</v>
      </c>
      <c r="BH187" s="88">
        <f>IF($U$187="sníž. přenesená",$N$187,0)</f>
        <v>0</v>
      </c>
      <c r="BI187" s="88">
        <f>IF($U$187="nulová",$N$187,0)</f>
        <v>0</v>
      </c>
      <c r="BJ187" s="6" t="s">
        <v>17</v>
      </c>
      <c r="BK187" s="88">
        <f>ROUND($L$187*$K$187,2)</f>
        <v>0</v>
      </c>
      <c r="BL187" s="6" t="s">
        <v>156</v>
      </c>
    </row>
    <row r="188" spans="2:64" s="6" customFormat="1" ht="27" customHeight="1">
      <c r="B188" s="22"/>
      <c r="C188" s="134" t="s">
        <v>222</v>
      </c>
      <c r="D188" s="134" t="s">
        <v>145</v>
      </c>
      <c r="E188" s="135" t="s">
        <v>391</v>
      </c>
      <c r="F188" s="217" t="s">
        <v>392</v>
      </c>
      <c r="G188" s="218"/>
      <c r="H188" s="218"/>
      <c r="I188" s="218"/>
      <c r="J188" s="136" t="s">
        <v>185</v>
      </c>
      <c r="K188" s="137">
        <v>501.435</v>
      </c>
      <c r="L188" s="219">
        <v>0</v>
      </c>
      <c r="M188" s="218"/>
      <c r="N188" s="220">
        <f>ROUND($L$188*$K$188,2)</f>
        <v>0</v>
      </c>
      <c r="O188" s="218"/>
      <c r="P188" s="218"/>
      <c r="Q188" s="218"/>
      <c r="R188" s="24"/>
      <c r="T188" s="138"/>
      <c r="U188" s="30" t="s">
        <v>38</v>
      </c>
      <c r="V188" s="139">
        <v>0.006</v>
      </c>
      <c r="W188" s="139">
        <f>$V$188*$K$188</f>
        <v>3.00861</v>
      </c>
      <c r="X188" s="139">
        <v>0</v>
      </c>
      <c r="Y188" s="139">
        <f>$X$188*$K$188</f>
        <v>0</v>
      </c>
      <c r="Z188" s="139">
        <v>0</v>
      </c>
      <c r="AA188" s="140">
        <f>$Z$188*$K$188</f>
        <v>0</v>
      </c>
      <c r="AR188" s="6" t="s">
        <v>156</v>
      </c>
      <c r="AT188" s="6" t="s">
        <v>145</v>
      </c>
      <c r="AU188" s="6" t="s">
        <v>152</v>
      </c>
      <c r="AY188" s="6" t="s">
        <v>144</v>
      </c>
      <c r="BE188" s="88">
        <f>IF($U$188="základní",$N$188,0)</f>
        <v>0</v>
      </c>
      <c r="BF188" s="88">
        <f>IF($U$188="snížená",$N$188,0)</f>
        <v>0</v>
      </c>
      <c r="BG188" s="88">
        <f>IF($U$188="zákl. přenesená",$N$188,0)</f>
        <v>0</v>
      </c>
      <c r="BH188" s="88">
        <f>IF($U$188="sníž. přenesená",$N$188,0)</f>
        <v>0</v>
      </c>
      <c r="BI188" s="88">
        <f>IF($U$188="nulová",$N$188,0)</f>
        <v>0</v>
      </c>
      <c r="BJ188" s="6" t="s">
        <v>17</v>
      </c>
      <c r="BK188" s="88">
        <f>ROUND($L$188*$K$188,2)</f>
        <v>0</v>
      </c>
      <c r="BL188" s="6" t="s">
        <v>156</v>
      </c>
    </row>
    <row r="189" spans="2:51" s="6" customFormat="1" ht="15.75" customHeight="1">
      <c r="B189" s="146"/>
      <c r="C189" s="147"/>
      <c r="D189" s="147"/>
      <c r="E189" s="147"/>
      <c r="F189" s="226" t="s">
        <v>393</v>
      </c>
      <c r="G189" s="227"/>
      <c r="H189" s="227"/>
      <c r="I189" s="227"/>
      <c r="J189" s="147"/>
      <c r="K189" s="148">
        <v>501.435</v>
      </c>
      <c r="L189" s="147"/>
      <c r="M189" s="147"/>
      <c r="N189" s="147"/>
      <c r="O189" s="147"/>
      <c r="P189" s="147"/>
      <c r="Q189" s="147"/>
      <c r="R189" s="149"/>
      <c r="T189" s="150"/>
      <c r="U189" s="147"/>
      <c r="V189" s="147"/>
      <c r="W189" s="147"/>
      <c r="X189" s="147"/>
      <c r="Y189" s="147"/>
      <c r="Z189" s="147"/>
      <c r="AA189" s="151"/>
      <c r="AT189" s="152" t="s">
        <v>315</v>
      </c>
      <c r="AU189" s="152" t="s">
        <v>152</v>
      </c>
      <c r="AV189" s="152" t="s">
        <v>103</v>
      </c>
      <c r="AW189" s="152" t="s">
        <v>113</v>
      </c>
      <c r="AX189" s="152" t="s">
        <v>17</v>
      </c>
      <c r="AY189" s="152" t="s">
        <v>144</v>
      </c>
    </row>
    <row r="190" spans="2:64" s="6" customFormat="1" ht="27" customHeight="1">
      <c r="B190" s="22"/>
      <c r="C190" s="134" t="s">
        <v>225</v>
      </c>
      <c r="D190" s="134" t="s">
        <v>145</v>
      </c>
      <c r="E190" s="135" t="s">
        <v>394</v>
      </c>
      <c r="F190" s="217" t="s">
        <v>395</v>
      </c>
      <c r="G190" s="218"/>
      <c r="H190" s="218"/>
      <c r="I190" s="218"/>
      <c r="J190" s="136" t="s">
        <v>185</v>
      </c>
      <c r="K190" s="137">
        <v>55.715</v>
      </c>
      <c r="L190" s="219">
        <v>0</v>
      </c>
      <c r="M190" s="218"/>
      <c r="N190" s="220">
        <f>ROUND($L$190*$K$190,2)</f>
        <v>0</v>
      </c>
      <c r="O190" s="218"/>
      <c r="P190" s="218"/>
      <c r="Q190" s="218"/>
      <c r="R190" s="24"/>
      <c r="T190" s="138"/>
      <c r="U190" s="30" t="s">
        <v>38</v>
      </c>
      <c r="V190" s="139">
        <v>0</v>
      </c>
      <c r="W190" s="139">
        <f>$V$190*$K$190</f>
        <v>0</v>
      </c>
      <c r="X190" s="139">
        <v>0</v>
      </c>
      <c r="Y190" s="139">
        <f>$X$190*$K$190</f>
        <v>0</v>
      </c>
      <c r="Z190" s="139">
        <v>0</v>
      </c>
      <c r="AA190" s="140">
        <f>$Z$190*$K$190</f>
        <v>0</v>
      </c>
      <c r="AR190" s="6" t="s">
        <v>156</v>
      </c>
      <c r="AT190" s="6" t="s">
        <v>145</v>
      </c>
      <c r="AU190" s="6" t="s">
        <v>152</v>
      </c>
      <c r="AY190" s="6" t="s">
        <v>144</v>
      </c>
      <c r="BE190" s="88">
        <f>IF($U$190="základní",$N$190,0)</f>
        <v>0</v>
      </c>
      <c r="BF190" s="88">
        <f>IF($U$190="snížená",$N$190,0)</f>
        <v>0</v>
      </c>
      <c r="BG190" s="88">
        <f>IF($U$190="zákl. přenesená",$N$190,0)</f>
        <v>0</v>
      </c>
      <c r="BH190" s="88">
        <f>IF($U$190="sníž. přenesená",$N$190,0)</f>
        <v>0</v>
      </c>
      <c r="BI190" s="88">
        <f>IF($U$190="nulová",$N$190,0)</f>
        <v>0</v>
      </c>
      <c r="BJ190" s="6" t="s">
        <v>17</v>
      </c>
      <c r="BK190" s="88">
        <f>ROUND($L$190*$K$190,2)</f>
        <v>0</v>
      </c>
      <c r="BL190" s="6" t="s">
        <v>156</v>
      </c>
    </row>
    <row r="191" spans="2:63" s="123" customFormat="1" ht="37.5" customHeight="1">
      <c r="B191" s="124"/>
      <c r="C191" s="125"/>
      <c r="D191" s="126" t="s">
        <v>114</v>
      </c>
      <c r="E191" s="125"/>
      <c r="F191" s="125"/>
      <c r="G191" s="125"/>
      <c r="H191" s="125"/>
      <c r="I191" s="125"/>
      <c r="J191" s="125"/>
      <c r="K191" s="125"/>
      <c r="L191" s="125"/>
      <c r="M191" s="125"/>
      <c r="N191" s="213">
        <f>$BK$191</f>
        <v>0</v>
      </c>
      <c r="O191" s="224"/>
      <c r="P191" s="224"/>
      <c r="Q191" s="224"/>
      <c r="R191" s="127"/>
      <c r="T191" s="128"/>
      <c r="U191" s="125"/>
      <c r="V191" s="125"/>
      <c r="W191" s="129">
        <f>$W$192+$W$197+$W$203+$W$219+$W$235+$W$248+$W$269+$W$273</f>
        <v>557.088426</v>
      </c>
      <c r="X191" s="125"/>
      <c r="Y191" s="129">
        <f>$Y$192+$Y$197+$Y$203+$Y$219+$Y$235+$Y$248+$Y$269+$Y$273</f>
        <v>6.176937240000001</v>
      </c>
      <c r="Z191" s="125"/>
      <c r="AA191" s="130">
        <f>$AA$192+$AA$197+$AA$203+$AA$219+$AA$235+$AA$248+$AA$269+$AA$273</f>
        <v>8.5480221</v>
      </c>
      <c r="AR191" s="131" t="s">
        <v>103</v>
      </c>
      <c r="AT191" s="131" t="s">
        <v>72</v>
      </c>
      <c r="AU191" s="131" t="s">
        <v>73</v>
      </c>
      <c r="AY191" s="131" t="s">
        <v>144</v>
      </c>
      <c r="BK191" s="132">
        <f>$BK$192+$BK$197+$BK$203+$BK$219+$BK$235+$BK$248+$BK$269+$BK$273</f>
        <v>0</v>
      </c>
    </row>
    <row r="192" spans="2:63" s="123" customFormat="1" ht="21" customHeight="1">
      <c r="B192" s="124"/>
      <c r="C192" s="125"/>
      <c r="D192" s="133" t="s">
        <v>303</v>
      </c>
      <c r="E192" s="125"/>
      <c r="F192" s="125"/>
      <c r="G192" s="125"/>
      <c r="H192" s="125"/>
      <c r="I192" s="125"/>
      <c r="J192" s="125"/>
      <c r="K192" s="125"/>
      <c r="L192" s="125"/>
      <c r="M192" s="125"/>
      <c r="N192" s="225">
        <f>$BK$192</f>
        <v>0</v>
      </c>
      <c r="O192" s="224"/>
      <c r="P192" s="224"/>
      <c r="Q192" s="224"/>
      <c r="R192" s="127"/>
      <c r="T192" s="128"/>
      <c r="U192" s="125"/>
      <c r="V192" s="125"/>
      <c r="W192" s="129">
        <f>SUM($W$193:$W$196)</f>
        <v>23.77946</v>
      </c>
      <c r="X192" s="125"/>
      <c r="Y192" s="129">
        <f>SUM($Y$193:$Y$196)</f>
        <v>0.4732744</v>
      </c>
      <c r="Z192" s="125"/>
      <c r="AA192" s="130">
        <f>SUM($AA$193:$AA$196)</f>
        <v>0</v>
      </c>
      <c r="AR192" s="131" t="s">
        <v>103</v>
      </c>
      <c r="AT192" s="131" t="s">
        <v>72</v>
      </c>
      <c r="AU192" s="131" t="s">
        <v>17</v>
      </c>
      <c r="AY192" s="131" t="s">
        <v>144</v>
      </c>
      <c r="BK192" s="132">
        <f>SUM($BK$193:$BK$196)</f>
        <v>0</v>
      </c>
    </row>
    <row r="193" spans="2:64" s="6" customFormat="1" ht="39" customHeight="1">
      <c r="B193" s="22"/>
      <c r="C193" s="134" t="s">
        <v>228</v>
      </c>
      <c r="D193" s="134" t="s">
        <v>145</v>
      </c>
      <c r="E193" s="135" t="s">
        <v>396</v>
      </c>
      <c r="F193" s="217" t="s">
        <v>397</v>
      </c>
      <c r="G193" s="218"/>
      <c r="H193" s="218"/>
      <c r="I193" s="218"/>
      <c r="J193" s="136" t="s">
        <v>328</v>
      </c>
      <c r="K193" s="137">
        <v>43.66</v>
      </c>
      <c r="L193" s="219">
        <v>0</v>
      </c>
      <c r="M193" s="218"/>
      <c r="N193" s="220">
        <f>ROUND($L$193*$K$193,2)</f>
        <v>0</v>
      </c>
      <c r="O193" s="218"/>
      <c r="P193" s="218"/>
      <c r="Q193" s="218"/>
      <c r="R193" s="24"/>
      <c r="T193" s="138"/>
      <c r="U193" s="30" t="s">
        <v>38</v>
      </c>
      <c r="V193" s="139">
        <v>0.518</v>
      </c>
      <c r="W193" s="139">
        <f>$V$193*$K$193</f>
        <v>22.61588</v>
      </c>
      <c r="X193" s="139">
        <v>0.00139</v>
      </c>
      <c r="Y193" s="139">
        <f>$X$193*$K$193</f>
        <v>0.060687399999999996</v>
      </c>
      <c r="Z193" s="139">
        <v>0</v>
      </c>
      <c r="AA193" s="140">
        <f>$Z$193*$K$193</f>
        <v>0</v>
      </c>
      <c r="AR193" s="6" t="s">
        <v>149</v>
      </c>
      <c r="AT193" s="6" t="s">
        <v>145</v>
      </c>
      <c r="AU193" s="6" t="s">
        <v>103</v>
      </c>
      <c r="AY193" s="6" t="s">
        <v>144</v>
      </c>
      <c r="BE193" s="88">
        <f>IF($U$193="základní",$N$193,0)</f>
        <v>0</v>
      </c>
      <c r="BF193" s="88">
        <f>IF($U$193="snížená",$N$193,0)</f>
        <v>0</v>
      </c>
      <c r="BG193" s="88">
        <f>IF($U$193="zákl. přenesená",$N$193,0)</f>
        <v>0</v>
      </c>
      <c r="BH193" s="88">
        <f>IF($U$193="sníž. přenesená",$N$193,0)</f>
        <v>0</v>
      </c>
      <c r="BI193" s="88">
        <f>IF($U$193="nulová",$N$193,0)</f>
        <v>0</v>
      </c>
      <c r="BJ193" s="6" t="s">
        <v>17</v>
      </c>
      <c r="BK193" s="88">
        <f>ROUND($L$193*$K$193,2)</f>
        <v>0</v>
      </c>
      <c r="BL193" s="6" t="s">
        <v>149</v>
      </c>
    </row>
    <row r="194" spans="2:51" s="6" customFormat="1" ht="15.75" customHeight="1">
      <c r="B194" s="146"/>
      <c r="C194" s="147"/>
      <c r="D194" s="147"/>
      <c r="E194" s="147"/>
      <c r="F194" s="226" t="s">
        <v>398</v>
      </c>
      <c r="G194" s="227"/>
      <c r="H194" s="227"/>
      <c r="I194" s="227"/>
      <c r="J194" s="147"/>
      <c r="K194" s="148">
        <v>43.66</v>
      </c>
      <c r="L194" s="147"/>
      <c r="M194" s="147"/>
      <c r="N194" s="147"/>
      <c r="O194" s="147"/>
      <c r="P194" s="147"/>
      <c r="Q194" s="147"/>
      <c r="R194" s="149"/>
      <c r="T194" s="150"/>
      <c r="U194" s="147"/>
      <c r="V194" s="147"/>
      <c r="W194" s="147"/>
      <c r="X194" s="147"/>
      <c r="Y194" s="147"/>
      <c r="Z194" s="147"/>
      <c r="AA194" s="151"/>
      <c r="AT194" s="152" t="s">
        <v>315</v>
      </c>
      <c r="AU194" s="152" t="s">
        <v>103</v>
      </c>
      <c r="AV194" s="152" t="s">
        <v>103</v>
      </c>
      <c r="AW194" s="152" t="s">
        <v>113</v>
      </c>
      <c r="AX194" s="152" t="s">
        <v>17</v>
      </c>
      <c r="AY194" s="152" t="s">
        <v>144</v>
      </c>
    </row>
    <row r="195" spans="2:64" s="6" customFormat="1" ht="27" customHeight="1">
      <c r="B195" s="22"/>
      <c r="C195" s="160" t="s">
        <v>231</v>
      </c>
      <c r="D195" s="160" t="s">
        <v>348</v>
      </c>
      <c r="E195" s="161" t="s">
        <v>399</v>
      </c>
      <c r="F195" s="230" t="s">
        <v>400</v>
      </c>
      <c r="G195" s="231"/>
      <c r="H195" s="231"/>
      <c r="I195" s="231"/>
      <c r="J195" s="162" t="s">
        <v>328</v>
      </c>
      <c r="K195" s="163">
        <v>45.843</v>
      </c>
      <c r="L195" s="232">
        <v>0</v>
      </c>
      <c r="M195" s="231"/>
      <c r="N195" s="233">
        <f>ROUND($L$195*$K$195,2)</f>
        <v>0</v>
      </c>
      <c r="O195" s="218"/>
      <c r="P195" s="218"/>
      <c r="Q195" s="218"/>
      <c r="R195" s="24"/>
      <c r="T195" s="138"/>
      <c r="U195" s="30" t="s">
        <v>38</v>
      </c>
      <c r="V195" s="139">
        <v>0</v>
      </c>
      <c r="W195" s="139">
        <f>$V$195*$K$195</f>
        <v>0</v>
      </c>
      <c r="X195" s="139">
        <v>0.009</v>
      </c>
      <c r="Y195" s="139">
        <f>$X$195*$K$195</f>
        <v>0.412587</v>
      </c>
      <c r="Z195" s="139">
        <v>0</v>
      </c>
      <c r="AA195" s="140">
        <f>$Z$195*$K$195</f>
        <v>0</v>
      </c>
      <c r="AR195" s="6" t="s">
        <v>238</v>
      </c>
      <c r="AT195" s="6" t="s">
        <v>348</v>
      </c>
      <c r="AU195" s="6" t="s">
        <v>103</v>
      </c>
      <c r="AY195" s="6" t="s">
        <v>144</v>
      </c>
      <c r="BE195" s="88">
        <f>IF($U$195="základní",$N$195,0)</f>
        <v>0</v>
      </c>
      <c r="BF195" s="88">
        <f>IF($U$195="snížená",$N$195,0)</f>
        <v>0</v>
      </c>
      <c r="BG195" s="88">
        <f>IF($U$195="zákl. přenesená",$N$195,0)</f>
        <v>0</v>
      </c>
      <c r="BH195" s="88">
        <f>IF($U$195="sníž. přenesená",$N$195,0)</f>
        <v>0</v>
      </c>
      <c r="BI195" s="88">
        <f>IF($U$195="nulová",$N$195,0)</f>
        <v>0</v>
      </c>
      <c r="BJ195" s="6" t="s">
        <v>17</v>
      </c>
      <c r="BK195" s="88">
        <f>ROUND($L$195*$K$195,2)</f>
        <v>0</v>
      </c>
      <c r="BL195" s="6" t="s">
        <v>149</v>
      </c>
    </row>
    <row r="196" spans="2:64" s="6" customFormat="1" ht="27" customHeight="1">
      <c r="B196" s="22"/>
      <c r="C196" s="134" t="s">
        <v>235</v>
      </c>
      <c r="D196" s="134" t="s">
        <v>145</v>
      </c>
      <c r="E196" s="135" t="s">
        <v>401</v>
      </c>
      <c r="F196" s="217" t="s">
        <v>402</v>
      </c>
      <c r="G196" s="218"/>
      <c r="H196" s="218"/>
      <c r="I196" s="218"/>
      <c r="J196" s="136" t="s">
        <v>185</v>
      </c>
      <c r="K196" s="137">
        <v>0.473</v>
      </c>
      <c r="L196" s="219">
        <v>0</v>
      </c>
      <c r="M196" s="218"/>
      <c r="N196" s="220">
        <f>ROUND($L$196*$K$196,2)</f>
        <v>0</v>
      </c>
      <c r="O196" s="218"/>
      <c r="P196" s="218"/>
      <c r="Q196" s="218"/>
      <c r="R196" s="24"/>
      <c r="T196" s="138"/>
      <c r="U196" s="30" t="s">
        <v>38</v>
      </c>
      <c r="V196" s="139">
        <v>2.46</v>
      </c>
      <c r="W196" s="139">
        <f>$V$196*$K$196</f>
        <v>1.1635799999999998</v>
      </c>
      <c r="X196" s="139">
        <v>0</v>
      </c>
      <c r="Y196" s="139">
        <f>$X$196*$K$196</f>
        <v>0</v>
      </c>
      <c r="Z196" s="139">
        <v>0</v>
      </c>
      <c r="AA196" s="140">
        <f>$Z$196*$K$196</f>
        <v>0</v>
      </c>
      <c r="AR196" s="6" t="s">
        <v>149</v>
      </c>
      <c r="AT196" s="6" t="s">
        <v>145</v>
      </c>
      <c r="AU196" s="6" t="s">
        <v>103</v>
      </c>
      <c r="AY196" s="6" t="s">
        <v>144</v>
      </c>
      <c r="BE196" s="88">
        <f>IF($U$196="základní",$N$196,0)</f>
        <v>0</v>
      </c>
      <c r="BF196" s="88">
        <f>IF($U$196="snížená",$N$196,0)</f>
        <v>0</v>
      </c>
      <c r="BG196" s="88">
        <f>IF($U$196="zákl. přenesená",$N$196,0)</f>
        <v>0</v>
      </c>
      <c r="BH196" s="88">
        <f>IF($U$196="sníž. přenesená",$N$196,0)</f>
        <v>0</v>
      </c>
      <c r="BI196" s="88">
        <f>IF($U$196="nulová",$N$196,0)</f>
        <v>0</v>
      </c>
      <c r="BJ196" s="6" t="s">
        <v>17</v>
      </c>
      <c r="BK196" s="88">
        <f>ROUND($L$196*$K$196,2)</f>
        <v>0</v>
      </c>
      <c r="BL196" s="6" t="s">
        <v>149</v>
      </c>
    </row>
    <row r="197" spans="2:63" s="123" customFormat="1" ht="30.75" customHeight="1">
      <c r="B197" s="124"/>
      <c r="C197" s="125"/>
      <c r="D197" s="133" t="s">
        <v>304</v>
      </c>
      <c r="E197" s="125"/>
      <c r="F197" s="125"/>
      <c r="G197" s="125"/>
      <c r="H197" s="125"/>
      <c r="I197" s="125"/>
      <c r="J197" s="125"/>
      <c r="K197" s="125"/>
      <c r="L197" s="125"/>
      <c r="M197" s="125"/>
      <c r="N197" s="225">
        <f>$BK$197</f>
        <v>0</v>
      </c>
      <c r="O197" s="224"/>
      <c r="P197" s="224"/>
      <c r="Q197" s="224"/>
      <c r="R197" s="127"/>
      <c r="T197" s="128"/>
      <c r="U197" s="125"/>
      <c r="V197" s="125"/>
      <c r="W197" s="129">
        <f>SUM($W$198:$W$202)</f>
        <v>9.91809</v>
      </c>
      <c r="X197" s="125"/>
      <c r="Y197" s="129">
        <f>SUM($Y$198:$Y$202)</f>
        <v>0.070434</v>
      </c>
      <c r="Z197" s="125"/>
      <c r="AA197" s="130">
        <f>SUM($AA$198:$AA$202)</f>
        <v>0.03483</v>
      </c>
      <c r="AR197" s="131" t="s">
        <v>103</v>
      </c>
      <c r="AT197" s="131" t="s">
        <v>72</v>
      </c>
      <c r="AU197" s="131" t="s">
        <v>17</v>
      </c>
      <c r="AY197" s="131" t="s">
        <v>144</v>
      </c>
      <c r="BK197" s="132">
        <f>SUM($BK$198:$BK$202)</f>
        <v>0</v>
      </c>
    </row>
    <row r="198" spans="2:64" s="6" customFormat="1" ht="15.75" customHeight="1">
      <c r="B198" s="22"/>
      <c r="C198" s="134" t="s">
        <v>238</v>
      </c>
      <c r="D198" s="134" t="s">
        <v>145</v>
      </c>
      <c r="E198" s="135" t="s">
        <v>403</v>
      </c>
      <c r="F198" s="217" t="s">
        <v>404</v>
      </c>
      <c r="G198" s="218"/>
      <c r="H198" s="218"/>
      <c r="I198" s="218"/>
      <c r="J198" s="136" t="s">
        <v>148</v>
      </c>
      <c r="K198" s="137">
        <v>25.8</v>
      </c>
      <c r="L198" s="219">
        <v>0</v>
      </c>
      <c r="M198" s="218"/>
      <c r="N198" s="220">
        <f>ROUND($L$198*$K$198,2)</f>
        <v>0</v>
      </c>
      <c r="O198" s="218"/>
      <c r="P198" s="218"/>
      <c r="Q198" s="218"/>
      <c r="R198" s="24"/>
      <c r="T198" s="138"/>
      <c r="U198" s="30" t="s">
        <v>38</v>
      </c>
      <c r="V198" s="139">
        <v>0.08</v>
      </c>
      <c r="W198" s="139">
        <f>$V$198*$K$198</f>
        <v>2.064</v>
      </c>
      <c r="X198" s="139">
        <v>0</v>
      </c>
      <c r="Y198" s="139">
        <f>$X$198*$K$198</f>
        <v>0</v>
      </c>
      <c r="Z198" s="139">
        <v>0.00135</v>
      </c>
      <c r="AA198" s="140">
        <f>$Z$198*$K$198</f>
        <v>0.03483</v>
      </c>
      <c r="AR198" s="6" t="s">
        <v>149</v>
      </c>
      <c r="AT198" s="6" t="s">
        <v>145</v>
      </c>
      <c r="AU198" s="6" t="s">
        <v>103</v>
      </c>
      <c r="AY198" s="6" t="s">
        <v>144</v>
      </c>
      <c r="BE198" s="88">
        <f>IF($U$198="základní",$N$198,0)</f>
        <v>0</v>
      </c>
      <c r="BF198" s="88">
        <f>IF($U$198="snížená",$N$198,0)</f>
        <v>0</v>
      </c>
      <c r="BG198" s="88">
        <f>IF($U$198="zákl. přenesená",$N$198,0)</f>
        <v>0</v>
      </c>
      <c r="BH198" s="88">
        <f>IF($U$198="sníž. přenesená",$N$198,0)</f>
        <v>0</v>
      </c>
      <c r="BI198" s="88">
        <f>IF($U$198="nulová",$N$198,0)</f>
        <v>0</v>
      </c>
      <c r="BJ198" s="6" t="s">
        <v>17</v>
      </c>
      <c r="BK198" s="88">
        <f>ROUND($L$198*$K$198,2)</f>
        <v>0</v>
      </c>
      <c r="BL198" s="6" t="s">
        <v>149</v>
      </c>
    </row>
    <row r="199" spans="2:51" s="6" customFormat="1" ht="15.75" customHeight="1">
      <c r="B199" s="146"/>
      <c r="C199" s="147"/>
      <c r="D199" s="147"/>
      <c r="E199" s="147"/>
      <c r="F199" s="226" t="s">
        <v>405</v>
      </c>
      <c r="G199" s="227"/>
      <c r="H199" s="227"/>
      <c r="I199" s="227"/>
      <c r="J199" s="147"/>
      <c r="K199" s="148">
        <v>25.8</v>
      </c>
      <c r="L199" s="147"/>
      <c r="M199" s="147"/>
      <c r="N199" s="147"/>
      <c r="O199" s="147"/>
      <c r="P199" s="147"/>
      <c r="Q199" s="147"/>
      <c r="R199" s="149"/>
      <c r="T199" s="150"/>
      <c r="U199" s="147"/>
      <c r="V199" s="147"/>
      <c r="W199" s="147"/>
      <c r="X199" s="147"/>
      <c r="Y199" s="147"/>
      <c r="Z199" s="147"/>
      <c r="AA199" s="151"/>
      <c r="AT199" s="152" t="s">
        <v>315</v>
      </c>
      <c r="AU199" s="152" t="s">
        <v>103</v>
      </c>
      <c r="AV199" s="152" t="s">
        <v>103</v>
      </c>
      <c r="AW199" s="152" t="s">
        <v>113</v>
      </c>
      <c r="AX199" s="152" t="s">
        <v>17</v>
      </c>
      <c r="AY199" s="152" t="s">
        <v>144</v>
      </c>
    </row>
    <row r="200" spans="2:64" s="6" customFormat="1" ht="15.75" customHeight="1">
      <c r="B200" s="22"/>
      <c r="C200" s="134" t="s">
        <v>241</v>
      </c>
      <c r="D200" s="134" t="s">
        <v>145</v>
      </c>
      <c r="E200" s="135" t="s">
        <v>406</v>
      </c>
      <c r="F200" s="217" t="s">
        <v>407</v>
      </c>
      <c r="G200" s="218"/>
      <c r="H200" s="218"/>
      <c r="I200" s="218"/>
      <c r="J200" s="136" t="s">
        <v>148</v>
      </c>
      <c r="K200" s="137">
        <v>25.8</v>
      </c>
      <c r="L200" s="219">
        <v>0</v>
      </c>
      <c r="M200" s="218"/>
      <c r="N200" s="220">
        <f>ROUND($L$200*$K$200,2)</f>
        <v>0</v>
      </c>
      <c r="O200" s="218"/>
      <c r="P200" s="218"/>
      <c r="Q200" s="218"/>
      <c r="R200" s="24"/>
      <c r="T200" s="138"/>
      <c r="U200" s="30" t="s">
        <v>38</v>
      </c>
      <c r="V200" s="139">
        <v>0.291</v>
      </c>
      <c r="W200" s="139">
        <f>$V$200*$K$200</f>
        <v>7.5078</v>
      </c>
      <c r="X200" s="139">
        <v>0.00273</v>
      </c>
      <c r="Y200" s="139">
        <f>$X$200*$K$200</f>
        <v>0.070434</v>
      </c>
      <c r="Z200" s="139">
        <v>0</v>
      </c>
      <c r="AA200" s="140">
        <f>$Z$200*$K$200</f>
        <v>0</v>
      </c>
      <c r="AR200" s="6" t="s">
        <v>149</v>
      </c>
      <c r="AT200" s="6" t="s">
        <v>145</v>
      </c>
      <c r="AU200" s="6" t="s">
        <v>103</v>
      </c>
      <c r="AY200" s="6" t="s">
        <v>144</v>
      </c>
      <c r="BE200" s="88">
        <f>IF($U$200="základní",$N$200,0)</f>
        <v>0</v>
      </c>
      <c r="BF200" s="88">
        <f>IF($U$200="snížená",$N$200,0)</f>
        <v>0</v>
      </c>
      <c r="BG200" s="88">
        <f>IF($U$200="zákl. přenesená",$N$200,0)</f>
        <v>0</v>
      </c>
      <c r="BH200" s="88">
        <f>IF($U$200="sníž. přenesená",$N$200,0)</f>
        <v>0</v>
      </c>
      <c r="BI200" s="88">
        <f>IF($U$200="nulová",$N$200,0)</f>
        <v>0</v>
      </c>
      <c r="BJ200" s="6" t="s">
        <v>17</v>
      </c>
      <c r="BK200" s="88">
        <f>ROUND($L$200*$K$200,2)</f>
        <v>0</v>
      </c>
      <c r="BL200" s="6" t="s">
        <v>149</v>
      </c>
    </row>
    <row r="201" spans="2:51" s="6" customFormat="1" ht="15.75" customHeight="1">
      <c r="B201" s="146"/>
      <c r="C201" s="147"/>
      <c r="D201" s="147"/>
      <c r="E201" s="147"/>
      <c r="F201" s="226" t="s">
        <v>405</v>
      </c>
      <c r="G201" s="227"/>
      <c r="H201" s="227"/>
      <c r="I201" s="227"/>
      <c r="J201" s="147"/>
      <c r="K201" s="148">
        <v>25.8</v>
      </c>
      <c r="L201" s="147"/>
      <c r="M201" s="147"/>
      <c r="N201" s="147"/>
      <c r="O201" s="147"/>
      <c r="P201" s="147"/>
      <c r="Q201" s="147"/>
      <c r="R201" s="149"/>
      <c r="T201" s="150"/>
      <c r="U201" s="147"/>
      <c r="V201" s="147"/>
      <c r="W201" s="147"/>
      <c r="X201" s="147"/>
      <c r="Y201" s="147"/>
      <c r="Z201" s="147"/>
      <c r="AA201" s="151"/>
      <c r="AT201" s="152" t="s">
        <v>315</v>
      </c>
      <c r="AU201" s="152" t="s">
        <v>103</v>
      </c>
      <c r="AV201" s="152" t="s">
        <v>103</v>
      </c>
      <c r="AW201" s="152" t="s">
        <v>113</v>
      </c>
      <c r="AX201" s="152" t="s">
        <v>17</v>
      </c>
      <c r="AY201" s="152" t="s">
        <v>144</v>
      </c>
    </row>
    <row r="202" spans="2:64" s="6" customFormat="1" ht="27" customHeight="1">
      <c r="B202" s="22"/>
      <c r="C202" s="134" t="s">
        <v>244</v>
      </c>
      <c r="D202" s="134" t="s">
        <v>145</v>
      </c>
      <c r="E202" s="135" t="s">
        <v>408</v>
      </c>
      <c r="F202" s="217" t="s">
        <v>409</v>
      </c>
      <c r="G202" s="218"/>
      <c r="H202" s="218"/>
      <c r="I202" s="218"/>
      <c r="J202" s="136" t="s">
        <v>185</v>
      </c>
      <c r="K202" s="137">
        <v>0.07</v>
      </c>
      <c r="L202" s="219">
        <v>0</v>
      </c>
      <c r="M202" s="218"/>
      <c r="N202" s="220">
        <f>ROUND($L$202*$K$202,2)</f>
        <v>0</v>
      </c>
      <c r="O202" s="218"/>
      <c r="P202" s="218"/>
      <c r="Q202" s="218"/>
      <c r="R202" s="24"/>
      <c r="T202" s="138"/>
      <c r="U202" s="30" t="s">
        <v>38</v>
      </c>
      <c r="V202" s="139">
        <v>4.947</v>
      </c>
      <c r="W202" s="139">
        <f>$V$202*$K$202</f>
        <v>0.34629000000000004</v>
      </c>
      <c r="X202" s="139">
        <v>0</v>
      </c>
      <c r="Y202" s="139">
        <f>$X$202*$K$202</f>
        <v>0</v>
      </c>
      <c r="Z202" s="139">
        <v>0</v>
      </c>
      <c r="AA202" s="140">
        <f>$Z$202*$K$202</f>
        <v>0</v>
      </c>
      <c r="AR202" s="6" t="s">
        <v>149</v>
      </c>
      <c r="AT202" s="6" t="s">
        <v>145</v>
      </c>
      <c r="AU202" s="6" t="s">
        <v>103</v>
      </c>
      <c r="AY202" s="6" t="s">
        <v>144</v>
      </c>
      <c r="BE202" s="88">
        <f>IF($U$202="základní",$N$202,0)</f>
        <v>0</v>
      </c>
      <c r="BF202" s="88">
        <f>IF($U$202="snížená",$N$202,0)</f>
        <v>0</v>
      </c>
      <c r="BG202" s="88">
        <f>IF($U$202="zákl. přenesená",$N$202,0)</f>
        <v>0</v>
      </c>
      <c r="BH202" s="88">
        <f>IF($U$202="sníž. přenesená",$N$202,0)</f>
        <v>0</v>
      </c>
      <c r="BI202" s="88">
        <f>IF($U$202="nulová",$N$202,0)</f>
        <v>0</v>
      </c>
      <c r="BJ202" s="6" t="s">
        <v>17</v>
      </c>
      <c r="BK202" s="88">
        <f>ROUND($L$202*$K$202,2)</f>
        <v>0</v>
      </c>
      <c r="BL202" s="6" t="s">
        <v>149</v>
      </c>
    </row>
    <row r="203" spans="2:63" s="123" customFormat="1" ht="30.75" customHeight="1">
      <c r="B203" s="124"/>
      <c r="C203" s="125"/>
      <c r="D203" s="133" t="s">
        <v>305</v>
      </c>
      <c r="E203" s="125"/>
      <c r="F203" s="125"/>
      <c r="G203" s="125"/>
      <c r="H203" s="125"/>
      <c r="I203" s="125"/>
      <c r="J203" s="125"/>
      <c r="K203" s="125"/>
      <c r="L203" s="125"/>
      <c r="M203" s="125"/>
      <c r="N203" s="225">
        <f>$BK$203</f>
        <v>0</v>
      </c>
      <c r="O203" s="224"/>
      <c r="P203" s="224"/>
      <c r="Q203" s="224"/>
      <c r="R203" s="127"/>
      <c r="T203" s="128"/>
      <c r="U203" s="125"/>
      <c r="V203" s="125"/>
      <c r="W203" s="129">
        <f>SUM($W$204:$W$218)</f>
        <v>75.421899</v>
      </c>
      <c r="X203" s="125"/>
      <c r="Y203" s="129">
        <f>SUM($Y$204:$Y$218)</f>
        <v>0.59711</v>
      </c>
      <c r="Z203" s="125"/>
      <c r="AA203" s="130">
        <f>SUM($AA$204:$AA$218)</f>
        <v>0.7280000000000001</v>
      </c>
      <c r="AR203" s="131" t="s">
        <v>103</v>
      </c>
      <c r="AT203" s="131" t="s">
        <v>72</v>
      </c>
      <c r="AU203" s="131" t="s">
        <v>17</v>
      </c>
      <c r="AY203" s="131" t="s">
        <v>144</v>
      </c>
      <c r="BK203" s="132">
        <f>SUM($BK$204:$BK$218)</f>
        <v>0</v>
      </c>
    </row>
    <row r="204" spans="2:64" s="6" customFormat="1" ht="27" customHeight="1">
      <c r="B204" s="22"/>
      <c r="C204" s="134" t="s">
        <v>248</v>
      </c>
      <c r="D204" s="134" t="s">
        <v>145</v>
      </c>
      <c r="E204" s="135" t="s">
        <v>410</v>
      </c>
      <c r="F204" s="217" t="s">
        <v>411</v>
      </c>
      <c r="G204" s="218"/>
      <c r="H204" s="218"/>
      <c r="I204" s="218"/>
      <c r="J204" s="136" t="s">
        <v>328</v>
      </c>
      <c r="K204" s="137">
        <v>37.08</v>
      </c>
      <c r="L204" s="219">
        <v>0</v>
      </c>
      <c r="M204" s="218"/>
      <c r="N204" s="220">
        <f>ROUND($L$204*$K$204,2)</f>
        <v>0</v>
      </c>
      <c r="O204" s="218"/>
      <c r="P204" s="218"/>
      <c r="Q204" s="218"/>
      <c r="R204" s="24"/>
      <c r="T204" s="138"/>
      <c r="U204" s="30" t="s">
        <v>38</v>
      </c>
      <c r="V204" s="139">
        <v>1.688</v>
      </c>
      <c r="W204" s="139">
        <f>$V$204*$K$204</f>
        <v>62.59103999999999</v>
      </c>
      <c r="X204" s="139">
        <v>0.00025</v>
      </c>
      <c r="Y204" s="139">
        <f>$X$204*$K$204</f>
        <v>0.00927</v>
      </c>
      <c r="Z204" s="139">
        <v>0</v>
      </c>
      <c r="AA204" s="140">
        <f>$Z$204*$K$204</f>
        <v>0</v>
      </c>
      <c r="AR204" s="6" t="s">
        <v>149</v>
      </c>
      <c r="AT204" s="6" t="s">
        <v>145</v>
      </c>
      <c r="AU204" s="6" t="s">
        <v>103</v>
      </c>
      <c r="AY204" s="6" t="s">
        <v>144</v>
      </c>
      <c r="BE204" s="88">
        <f>IF($U$204="základní",$N$204,0)</f>
        <v>0</v>
      </c>
      <c r="BF204" s="88">
        <f>IF($U$204="snížená",$N$204,0)</f>
        <v>0</v>
      </c>
      <c r="BG204" s="88">
        <f>IF($U$204="zákl. přenesená",$N$204,0)</f>
        <v>0</v>
      </c>
      <c r="BH204" s="88">
        <f>IF($U$204="sníž. přenesená",$N$204,0)</f>
        <v>0</v>
      </c>
      <c r="BI204" s="88">
        <f>IF($U$204="nulová",$N$204,0)</f>
        <v>0</v>
      </c>
      <c r="BJ204" s="6" t="s">
        <v>17</v>
      </c>
      <c r="BK204" s="88">
        <f>ROUND($L$204*$K$204,2)</f>
        <v>0</v>
      </c>
      <c r="BL204" s="6" t="s">
        <v>149</v>
      </c>
    </row>
    <row r="205" spans="2:51" s="6" customFormat="1" ht="15.75" customHeight="1">
      <c r="B205" s="146"/>
      <c r="C205" s="147"/>
      <c r="D205" s="147"/>
      <c r="E205" s="147"/>
      <c r="F205" s="226" t="s">
        <v>412</v>
      </c>
      <c r="G205" s="227"/>
      <c r="H205" s="227"/>
      <c r="I205" s="227"/>
      <c r="J205" s="147"/>
      <c r="K205" s="148">
        <v>37.08</v>
      </c>
      <c r="L205" s="147"/>
      <c r="M205" s="147"/>
      <c r="N205" s="147"/>
      <c r="O205" s="147"/>
      <c r="P205" s="147"/>
      <c r="Q205" s="147"/>
      <c r="R205" s="149"/>
      <c r="T205" s="150"/>
      <c r="U205" s="147"/>
      <c r="V205" s="147"/>
      <c r="W205" s="147"/>
      <c r="X205" s="147"/>
      <c r="Y205" s="147"/>
      <c r="Z205" s="147"/>
      <c r="AA205" s="151"/>
      <c r="AT205" s="152" t="s">
        <v>315</v>
      </c>
      <c r="AU205" s="152" t="s">
        <v>103</v>
      </c>
      <c r="AV205" s="152" t="s">
        <v>103</v>
      </c>
      <c r="AW205" s="152" t="s">
        <v>113</v>
      </c>
      <c r="AX205" s="152" t="s">
        <v>17</v>
      </c>
      <c r="AY205" s="152" t="s">
        <v>144</v>
      </c>
    </row>
    <row r="206" spans="2:64" s="6" customFormat="1" ht="27" customHeight="1">
      <c r="B206" s="22"/>
      <c r="C206" s="160" t="s">
        <v>251</v>
      </c>
      <c r="D206" s="160" t="s">
        <v>348</v>
      </c>
      <c r="E206" s="161" t="s">
        <v>413</v>
      </c>
      <c r="F206" s="230" t="s">
        <v>414</v>
      </c>
      <c r="G206" s="231"/>
      <c r="H206" s="231"/>
      <c r="I206" s="231"/>
      <c r="J206" s="162" t="s">
        <v>155</v>
      </c>
      <c r="K206" s="163">
        <v>3</v>
      </c>
      <c r="L206" s="232">
        <v>0</v>
      </c>
      <c r="M206" s="231"/>
      <c r="N206" s="233">
        <f>ROUND($L$206*$K$206,2)</f>
        <v>0</v>
      </c>
      <c r="O206" s="218"/>
      <c r="P206" s="218"/>
      <c r="Q206" s="218"/>
      <c r="R206" s="24"/>
      <c r="T206" s="138"/>
      <c r="U206" s="30" t="s">
        <v>38</v>
      </c>
      <c r="V206" s="139">
        <v>0</v>
      </c>
      <c r="W206" s="139">
        <f>$V$206*$K$206</f>
        <v>0</v>
      </c>
      <c r="X206" s="139">
        <v>0.0182</v>
      </c>
      <c r="Y206" s="139">
        <f>$X$206*$K$206</f>
        <v>0.0546</v>
      </c>
      <c r="Z206" s="139">
        <v>0</v>
      </c>
      <c r="AA206" s="140">
        <f>$Z$206*$K$206</f>
        <v>0</v>
      </c>
      <c r="AR206" s="6" t="s">
        <v>238</v>
      </c>
      <c r="AT206" s="6" t="s">
        <v>348</v>
      </c>
      <c r="AU206" s="6" t="s">
        <v>103</v>
      </c>
      <c r="AY206" s="6" t="s">
        <v>144</v>
      </c>
      <c r="BE206" s="88">
        <f>IF($U$206="základní",$N$206,0)</f>
        <v>0</v>
      </c>
      <c r="BF206" s="88">
        <f>IF($U$206="snížená",$N$206,0)</f>
        <v>0</v>
      </c>
      <c r="BG206" s="88">
        <f>IF($U$206="zákl. přenesená",$N$206,0)</f>
        <v>0</v>
      </c>
      <c r="BH206" s="88">
        <f>IF($U$206="sníž. přenesená",$N$206,0)</f>
        <v>0</v>
      </c>
      <c r="BI206" s="88">
        <f>IF($U$206="nulová",$N$206,0)</f>
        <v>0</v>
      </c>
      <c r="BJ206" s="6" t="s">
        <v>17</v>
      </c>
      <c r="BK206" s="88">
        <f>ROUND($L$206*$K$206,2)</f>
        <v>0</v>
      </c>
      <c r="BL206" s="6" t="s">
        <v>149</v>
      </c>
    </row>
    <row r="207" spans="2:64" s="6" customFormat="1" ht="27" customHeight="1">
      <c r="B207" s="22"/>
      <c r="C207" s="160" t="s">
        <v>254</v>
      </c>
      <c r="D207" s="160" t="s">
        <v>348</v>
      </c>
      <c r="E207" s="161" t="s">
        <v>415</v>
      </c>
      <c r="F207" s="230" t="s">
        <v>416</v>
      </c>
      <c r="G207" s="231"/>
      <c r="H207" s="231"/>
      <c r="I207" s="231"/>
      <c r="J207" s="162" t="s">
        <v>155</v>
      </c>
      <c r="K207" s="163">
        <v>11</v>
      </c>
      <c r="L207" s="232">
        <v>0</v>
      </c>
      <c r="M207" s="231"/>
      <c r="N207" s="233">
        <f>ROUND($L$207*$K$207,2)</f>
        <v>0</v>
      </c>
      <c r="O207" s="218"/>
      <c r="P207" s="218"/>
      <c r="Q207" s="218"/>
      <c r="R207" s="24"/>
      <c r="T207" s="138"/>
      <c r="U207" s="30" t="s">
        <v>38</v>
      </c>
      <c r="V207" s="139">
        <v>0</v>
      </c>
      <c r="W207" s="139">
        <f>$V$207*$K$207</f>
        <v>0</v>
      </c>
      <c r="X207" s="139">
        <v>0.044</v>
      </c>
      <c r="Y207" s="139">
        <f>$X$207*$K$207</f>
        <v>0.484</v>
      </c>
      <c r="Z207" s="139">
        <v>0</v>
      </c>
      <c r="AA207" s="140">
        <f>$Z$207*$K$207</f>
        <v>0</v>
      </c>
      <c r="AR207" s="6" t="s">
        <v>238</v>
      </c>
      <c r="AT207" s="6" t="s">
        <v>348</v>
      </c>
      <c r="AU207" s="6" t="s">
        <v>103</v>
      </c>
      <c r="AY207" s="6" t="s">
        <v>144</v>
      </c>
      <c r="BE207" s="88">
        <f>IF($U$207="základní",$N$207,0)</f>
        <v>0</v>
      </c>
      <c r="BF207" s="88">
        <f>IF($U$207="snížená",$N$207,0)</f>
        <v>0</v>
      </c>
      <c r="BG207" s="88">
        <f>IF($U$207="zákl. přenesená",$N$207,0)</f>
        <v>0</v>
      </c>
      <c r="BH207" s="88">
        <f>IF($U$207="sníž. přenesená",$N$207,0)</f>
        <v>0</v>
      </c>
      <c r="BI207" s="88">
        <f>IF($U$207="nulová",$N$207,0)</f>
        <v>0</v>
      </c>
      <c r="BJ207" s="6" t="s">
        <v>17</v>
      </c>
      <c r="BK207" s="88">
        <f>ROUND($L$207*$K$207,2)</f>
        <v>0</v>
      </c>
      <c r="BL207" s="6" t="s">
        <v>149</v>
      </c>
    </row>
    <row r="208" spans="2:64" s="6" customFormat="1" ht="39" customHeight="1">
      <c r="B208" s="22"/>
      <c r="C208" s="134" t="s">
        <v>257</v>
      </c>
      <c r="D208" s="134" t="s">
        <v>145</v>
      </c>
      <c r="E208" s="135" t="s">
        <v>417</v>
      </c>
      <c r="F208" s="217" t="s">
        <v>418</v>
      </c>
      <c r="G208" s="218"/>
      <c r="H208" s="218"/>
      <c r="I208" s="218"/>
      <c r="J208" s="136" t="s">
        <v>247</v>
      </c>
      <c r="K208" s="137">
        <v>1</v>
      </c>
      <c r="L208" s="219">
        <v>0</v>
      </c>
      <c r="M208" s="218"/>
      <c r="N208" s="220">
        <f>ROUND($L$208*$K$208,2)</f>
        <v>0</v>
      </c>
      <c r="O208" s="218"/>
      <c r="P208" s="218"/>
      <c r="Q208" s="218"/>
      <c r="R208" s="24"/>
      <c r="T208" s="138"/>
      <c r="U208" s="30" t="s">
        <v>38</v>
      </c>
      <c r="V208" s="139">
        <v>1.825</v>
      </c>
      <c r="W208" s="139">
        <f>$V$208*$K$208</f>
        <v>1.825</v>
      </c>
      <c r="X208" s="139">
        <v>0</v>
      </c>
      <c r="Y208" s="139">
        <f>$X$208*$K$208</f>
        <v>0</v>
      </c>
      <c r="Z208" s="139">
        <v>0</v>
      </c>
      <c r="AA208" s="140">
        <f>$Z$208*$K$208</f>
        <v>0</v>
      </c>
      <c r="AR208" s="6" t="s">
        <v>149</v>
      </c>
      <c r="AT208" s="6" t="s">
        <v>145</v>
      </c>
      <c r="AU208" s="6" t="s">
        <v>103</v>
      </c>
      <c r="AY208" s="6" t="s">
        <v>144</v>
      </c>
      <c r="BE208" s="88">
        <f>IF($U$208="základní",$N$208,0)</f>
        <v>0</v>
      </c>
      <c r="BF208" s="88">
        <f>IF($U$208="snížená",$N$208,0)</f>
        <v>0</v>
      </c>
      <c r="BG208" s="88">
        <f>IF($U$208="zákl. přenesená",$N$208,0)</f>
        <v>0</v>
      </c>
      <c r="BH208" s="88">
        <f>IF($U$208="sníž. přenesená",$N$208,0)</f>
        <v>0</v>
      </c>
      <c r="BI208" s="88">
        <f>IF($U$208="nulová",$N$208,0)</f>
        <v>0</v>
      </c>
      <c r="BJ208" s="6" t="s">
        <v>17</v>
      </c>
      <c r="BK208" s="88">
        <f>ROUND($L$208*$K$208,2)</f>
        <v>0</v>
      </c>
      <c r="BL208" s="6" t="s">
        <v>149</v>
      </c>
    </row>
    <row r="209" spans="2:47" s="6" customFormat="1" ht="25.5" customHeight="1">
      <c r="B209" s="22"/>
      <c r="C209" s="23"/>
      <c r="D209" s="23"/>
      <c r="E209" s="23"/>
      <c r="F209" s="234" t="s">
        <v>419</v>
      </c>
      <c r="G209" s="183"/>
      <c r="H209" s="183"/>
      <c r="I209" s="183"/>
      <c r="J209" s="23"/>
      <c r="K209" s="23"/>
      <c r="L209" s="23"/>
      <c r="M209" s="23"/>
      <c r="N209" s="23"/>
      <c r="O209" s="23"/>
      <c r="P209" s="23"/>
      <c r="Q209" s="23"/>
      <c r="R209" s="24"/>
      <c r="T209" s="59"/>
      <c r="U209" s="23"/>
      <c r="V209" s="23"/>
      <c r="W209" s="23"/>
      <c r="X209" s="23"/>
      <c r="Y209" s="23"/>
      <c r="Z209" s="23"/>
      <c r="AA209" s="60"/>
      <c r="AT209" s="6" t="s">
        <v>420</v>
      </c>
      <c r="AU209" s="6" t="s">
        <v>103</v>
      </c>
    </row>
    <row r="210" spans="2:64" s="6" customFormat="1" ht="27" customHeight="1">
      <c r="B210" s="22"/>
      <c r="C210" s="134" t="s">
        <v>260</v>
      </c>
      <c r="D210" s="134" t="s">
        <v>145</v>
      </c>
      <c r="E210" s="135" t="s">
        <v>421</v>
      </c>
      <c r="F210" s="217" t="s">
        <v>422</v>
      </c>
      <c r="G210" s="218"/>
      <c r="H210" s="218"/>
      <c r="I210" s="218"/>
      <c r="J210" s="136" t="s">
        <v>155</v>
      </c>
      <c r="K210" s="137">
        <v>28</v>
      </c>
      <c r="L210" s="219">
        <v>0</v>
      </c>
      <c r="M210" s="218"/>
      <c r="N210" s="220">
        <f>ROUND($L$210*$K$210,2)</f>
        <v>0</v>
      </c>
      <c r="O210" s="218"/>
      <c r="P210" s="218"/>
      <c r="Q210" s="218"/>
      <c r="R210" s="24"/>
      <c r="T210" s="138"/>
      <c r="U210" s="30" t="s">
        <v>38</v>
      </c>
      <c r="V210" s="139">
        <v>0.05</v>
      </c>
      <c r="W210" s="139">
        <f>$V$210*$K$210</f>
        <v>1.4000000000000001</v>
      </c>
      <c r="X210" s="139">
        <v>0</v>
      </c>
      <c r="Y210" s="139">
        <f>$X$210*$K$210</f>
        <v>0</v>
      </c>
      <c r="Z210" s="139">
        <v>0.024</v>
      </c>
      <c r="AA210" s="140">
        <f>$Z$210*$K$210</f>
        <v>0.672</v>
      </c>
      <c r="AR210" s="6" t="s">
        <v>149</v>
      </c>
      <c r="AT210" s="6" t="s">
        <v>145</v>
      </c>
      <c r="AU210" s="6" t="s">
        <v>103</v>
      </c>
      <c r="AY210" s="6" t="s">
        <v>144</v>
      </c>
      <c r="BE210" s="88">
        <f>IF($U$210="základní",$N$210,0)</f>
        <v>0</v>
      </c>
      <c r="BF210" s="88">
        <f>IF($U$210="snížená",$N$210,0)</f>
        <v>0</v>
      </c>
      <c r="BG210" s="88">
        <f>IF($U$210="zákl. přenesená",$N$210,0)</f>
        <v>0</v>
      </c>
      <c r="BH210" s="88">
        <f>IF($U$210="sníž. přenesená",$N$210,0)</f>
        <v>0</v>
      </c>
      <c r="BI210" s="88">
        <f>IF($U$210="nulová",$N$210,0)</f>
        <v>0</v>
      </c>
      <c r="BJ210" s="6" t="s">
        <v>17</v>
      </c>
      <c r="BK210" s="88">
        <f>ROUND($L$210*$K$210,2)</f>
        <v>0</v>
      </c>
      <c r="BL210" s="6" t="s">
        <v>149</v>
      </c>
    </row>
    <row r="211" spans="2:64" s="6" customFormat="1" ht="27" customHeight="1">
      <c r="B211" s="22"/>
      <c r="C211" s="134" t="s">
        <v>263</v>
      </c>
      <c r="D211" s="134" t="s">
        <v>145</v>
      </c>
      <c r="E211" s="135" t="s">
        <v>423</v>
      </c>
      <c r="F211" s="217" t="s">
        <v>424</v>
      </c>
      <c r="G211" s="218"/>
      <c r="H211" s="218"/>
      <c r="I211" s="218"/>
      <c r="J211" s="136" t="s">
        <v>155</v>
      </c>
      <c r="K211" s="137">
        <v>2</v>
      </c>
      <c r="L211" s="219">
        <v>0</v>
      </c>
      <c r="M211" s="218"/>
      <c r="N211" s="220">
        <f>ROUND($L$211*$K$211,2)</f>
        <v>0</v>
      </c>
      <c r="O211" s="218"/>
      <c r="P211" s="218"/>
      <c r="Q211" s="218"/>
      <c r="R211" s="24"/>
      <c r="T211" s="138"/>
      <c r="U211" s="30" t="s">
        <v>38</v>
      </c>
      <c r="V211" s="139">
        <v>0.09</v>
      </c>
      <c r="W211" s="139">
        <f>$V$211*$K$211</f>
        <v>0.18</v>
      </c>
      <c r="X211" s="139">
        <v>0</v>
      </c>
      <c r="Y211" s="139">
        <f>$X$211*$K$211</f>
        <v>0</v>
      </c>
      <c r="Z211" s="139">
        <v>0.028</v>
      </c>
      <c r="AA211" s="140">
        <f>$Z$211*$K$211</f>
        <v>0.056</v>
      </c>
      <c r="AR211" s="6" t="s">
        <v>149</v>
      </c>
      <c r="AT211" s="6" t="s">
        <v>145</v>
      </c>
      <c r="AU211" s="6" t="s">
        <v>103</v>
      </c>
      <c r="AY211" s="6" t="s">
        <v>144</v>
      </c>
      <c r="BE211" s="88">
        <f>IF($U$211="základní",$N$211,0)</f>
        <v>0</v>
      </c>
      <c r="BF211" s="88">
        <f>IF($U$211="snížená",$N$211,0)</f>
        <v>0</v>
      </c>
      <c r="BG211" s="88">
        <f>IF($U$211="zákl. přenesená",$N$211,0)</f>
        <v>0</v>
      </c>
      <c r="BH211" s="88">
        <f>IF($U$211="sníž. přenesená",$N$211,0)</f>
        <v>0</v>
      </c>
      <c r="BI211" s="88">
        <f>IF($U$211="nulová",$N$211,0)</f>
        <v>0</v>
      </c>
      <c r="BJ211" s="6" t="s">
        <v>17</v>
      </c>
      <c r="BK211" s="88">
        <f>ROUND($L$211*$K$211,2)</f>
        <v>0</v>
      </c>
      <c r="BL211" s="6" t="s">
        <v>149</v>
      </c>
    </row>
    <row r="212" spans="2:64" s="6" customFormat="1" ht="27" customHeight="1">
      <c r="B212" s="22"/>
      <c r="C212" s="134" t="s">
        <v>266</v>
      </c>
      <c r="D212" s="134" t="s">
        <v>145</v>
      </c>
      <c r="E212" s="135" t="s">
        <v>425</v>
      </c>
      <c r="F212" s="217" t="s">
        <v>426</v>
      </c>
      <c r="G212" s="218"/>
      <c r="H212" s="218"/>
      <c r="I212" s="218"/>
      <c r="J212" s="136" t="s">
        <v>155</v>
      </c>
      <c r="K212" s="137">
        <v>3</v>
      </c>
      <c r="L212" s="219">
        <v>0</v>
      </c>
      <c r="M212" s="218"/>
      <c r="N212" s="220">
        <f>ROUND($L$212*$K$212,2)</f>
        <v>0</v>
      </c>
      <c r="O212" s="218"/>
      <c r="P212" s="218"/>
      <c r="Q212" s="218"/>
      <c r="R212" s="24"/>
      <c r="T212" s="138"/>
      <c r="U212" s="30" t="s">
        <v>38</v>
      </c>
      <c r="V212" s="139">
        <v>0.345</v>
      </c>
      <c r="W212" s="139">
        <f>$V$212*$K$212</f>
        <v>1.035</v>
      </c>
      <c r="X212" s="139">
        <v>0</v>
      </c>
      <c r="Y212" s="139">
        <f>$X$212*$K$212</f>
        <v>0</v>
      </c>
      <c r="Z212" s="139">
        <v>0</v>
      </c>
      <c r="AA212" s="140">
        <f>$Z$212*$K$212</f>
        <v>0</v>
      </c>
      <c r="AR212" s="6" t="s">
        <v>149</v>
      </c>
      <c r="AT212" s="6" t="s">
        <v>145</v>
      </c>
      <c r="AU212" s="6" t="s">
        <v>103</v>
      </c>
      <c r="AY212" s="6" t="s">
        <v>144</v>
      </c>
      <c r="BE212" s="88">
        <f>IF($U$212="základní",$N$212,0)</f>
        <v>0</v>
      </c>
      <c r="BF212" s="88">
        <f>IF($U$212="snížená",$N$212,0)</f>
        <v>0</v>
      </c>
      <c r="BG212" s="88">
        <f>IF($U$212="zákl. přenesená",$N$212,0)</f>
        <v>0</v>
      </c>
      <c r="BH212" s="88">
        <f>IF($U$212="sníž. přenesená",$N$212,0)</f>
        <v>0</v>
      </c>
      <c r="BI212" s="88">
        <f>IF($U$212="nulová",$N$212,0)</f>
        <v>0</v>
      </c>
      <c r="BJ212" s="6" t="s">
        <v>17</v>
      </c>
      <c r="BK212" s="88">
        <f>ROUND($L$212*$K$212,2)</f>
        <v>0</v>
      </c>
      <c r="BL212" s="6" t="s">
        <v>149</v>
      </c>
    </row>
    <row r="213" spans="2:64" s="6" customFormat="1" ht="27" customHeight="1">
      <c r="B213" s="22"/>
      <c r="C213" s="134" t="s">
        <v>269</v>
      </c>
      <c r="D213" s="134" t="s">
        <v>145</v>
      </c>
      <c r="E213" s="135" t="s">
        <v>427</v>
      </c>
      <c r="F213" s="217" t="s">
        <v>428</v>
      </c>
      <c r="G213" s="218"/>
      <c r="H213" s="218"/>
      <c r="I213" s="218"/>
      <c r="J213" s="136" t="s">
        <v>155</v>
      </c>
      <c r="K213" s="137">
        <v>11</v>
      </c>
      <c r="L213" s="219">
        <v>0</v>
      </c>
      <c r="M213" s="218"/>
      <c r="N213" s="220">
        <f>ROUND($L$213*$K$213,2)</f>
        <v>0</v>
      </c>
      <c r="O213" s="218"/>
      <c r="P213" s="218"/>
      <c r="Q213" s="218"/>
      <c r="R213" s="24"/>
      <c r="T213" s="138"/>
      <c r="U213" s="30" t="s">
        <v>38</v>
      </c>
      <c r="V213" s="139">
        <v>0.63</v>
      </c>
      <c r="W213" s="139">
        <f>$V$213*$K$213</f>
        <v>6.93</v>
      </c>
      <c r="X213" s="139">
        <v>0</v>
      </c>
      <c r="Y213" s="139">
        <f>$X$213*$K$213</f>
        <v>0</v>
      </c>
      <c r="Z213" s="139">
        <v>0</v>
      </c>
      <c r="AA213" s="140">
        <f>$Z$213*$K$213</f>
        <v>0</v>
      </c>
      <c r="AR213" s="6" t="s">
        <v>149</v>
      </c>
      <c r="AT213" s="6" t="s">
        <v>145</v>
      </c>
      <c r="AU213" s="6" t="s">
        <v>103</v>
      </c>
      <c r="AY213" s="6" t="s">
        <v>144</v>
      </c>
      <c r="BE213" s="88">
        <f>IF($U$213="základní",$N$213,0)</f>
        <v>0</v>
      </c>
      <c r="BF213" s="88">
        <f>IF($U$213="snížená",$N$213,0)</f>
        <v>0</v>
      </c>
      <c r="BG213" s="88">
        <f>IF($U$213="zákl. přenesená",$N$213,0)</f>
        <v>0</v>
      </c>
      <c r="BH213" s="88">
        <f>IF($U$213="sníž. přenesená",$N$213,0)</f>
        <v>0</v>
      </c>
      <c r="BI213" s="88">
        <f>IF($U$213="nulová",$N$213,0)</f>
        <v>0</v>
      </c>
      <c r="BJ213" s="6" t="s">
        <v>17</v>
      </c>
      <c r="BK213" s="88">
        <f>ROUND($L$213*$K$213,2)</f>
        <v>0</v>
      </c>
      <c r="BL213" s="6" t="s">
        <v>149</v>
      </c>
    </row>
    <row r="214" spans="2:64" s="6" customFormat="1" ht="27" customHeight="1">
      <c r="B214" s="22"/>
      <c r="C214" s="160" t="s">
        <v>272</v>
      </c>
      <c r="D214" s="160" t="s">
        <v>348</v>
      </c>
      <c r="E214" s="161" t="s">
        <v>429</v>
      </c>
      <c r="F214" s="230" t="s">
        <v>430</v>
      </c>
      <c r="G214" s="231"/>
      <c r="H214" s="231"/>
      <c r="I214" s="231"/>
      <c r="J214" s="162" t="s">
        <v>148</v>
      </c>
      <c r="K214" s="163">
        <v>25.8</v>
      </c>
      <c r="L214" s="232">
        <v>0</v>
      </c>
      <c r="M214" s="231"/>
      <c r="N214" s="233">
        <f>ROUND($L$214*$K$214,2)</f>
        <v>0</v>
      </c>
      <c r="O214" s="218"/>
      <c r="P214" s="218"/>
      <c r="Q214" s="218"/>
      <c r="R214" s="24"/>
      <c r="T214" s="138"/>
      <c r="U214" s="30" t="s">
        <v>38</v>
      </c>
      <c r="V214" s="139">
        <v>0</v>
      </c>
      <c r="W214" s="139">
        <f>$V$214*$K$214</f>
        <v>0</v>
      </c>
      <c r="X214" s="139">
        <v>0.0018</v>
      </c>
      <c r="Y214" s="139">
        <f>$X$214*$K$214</f>
        <v>0.04644</v>
      </c>
      <c r="Z214" s="139">
        <v>0</v>
      </c>
      <c r="AA214" s="140">
        <f>$Z$214*$K$214</f>
        <v>0</v>
      </c>
      <c r="AR214" s="6" t="s">
        <v>238</v>
      </c>
      <c r="AT214" s="6" t="s">
        <v>348</v>
      </c>
      <c r="AU214" s="6" t="s">
        <v>103</v>
      </c>
      <c r="AY214" s="6" t="s">
        <v>144</v>
      </c>
      <c r="BE214" s="88">
        <f>IF($U$214="základní",$N$214,0)</f>
        <v>0</v>
      </c>
      <c r="BF214" s="88">
        <f>IF($U$214="snížená",$N$214,0)</f>
        <v>0</v>
      </c>
      <c r="BG214" s="88">
        <f>IF($U$214="zákl. přenesená",$N$214,0)</f>
        <v>0</v>
      </c>
      <c r="BH214" s="88">
        <f>IF($U$214="sníž. přenesená",$N$214,0)</f>
        <v>0</v>
      </c>
      <c r="BI214" s="88">
        <f>IF($U$214="nulová",$N$214,0)</f>
        <v>0</v>
      </c>
      <c r="BJ214" s="6" t="s">
        <v>17</v>
      </c>
      <c r="BK214" s="88">
        <f>ROUND($L$214*$K$214,2)</f>
        <v>0</v>
      </c>
      <c r="BL214" s="6" t="s">
        <v>149</v>
      </c>
    </row>
    <row r="215" spans="2:51" s="6" customFormat="1" ht="15.75" customHeight="1">
      <c r="B215" s="146"/>
      <c r="C215" s="147"/>
      <c r="D215" s="147"/>
      <c r="E215" s="147"/>
      <c r="F215" s="226" t="s">
        <v>431</v>
      </c>
      <c r="G215" s="227"/>
      <c r="H215" s="227"/>
      <c r="I215" s="227"/>
      <c r="J215" s="147"/>
      <c r="K215" s="148">
        <v>25.8</v>
      </c>
      <c r="L215" s="147"/>
      <c r="M215" s="147"/>
      <c r="N215" s="147"/>
      <c r="O215" s="147"/>
      <c r="P215" s="147"/>
      <c r="Q215" s="147"/>
      <c r="R215" s="149"/>
      <c r="T215" s="150"/>
      <c r="U215" s="147"/>
      <c r="V215" s="147"/>
      <c r="W215" s="147"/>
      <c r="X215" s="147"/>
      <c r="Y215" s="147"/>
      <c r="Z215" s="147"/>
      <c r="AA215" s="151"/>
      <c r="AT215" s="152" t="s">
        <v>315</v>
      </c>
      <c r="AU215" s="152" t="s">
        <v>103</v>
      </c>
      <c r="AV215" s="152" t="s">
        <v>103</v>
      </c>
      <c r="AW215" s="152" t="s">
        <v>113</v>
      </c>
      <c r="AX215" s="152" t="s">
        <v>17</v>
      </c>
      <c r="AY215" s="152" t="s">
        <v>144</v>
      </c>
    </row>
    <row r="216" spans="2:64" s="6" customFormat="1" ht="27" customHeight="1">
      <c r="B216" s="22"/>
      <c r="C216" s="160" t="s">
        <v>275</v>
      </c>
      <c r="D216" s="160" t="s">
        <v>348</v>
      </c>
      <c r="E216" s="161" t="s">
        <v>432</v>
      </c>
      <c r="F216" s="230" t="s">
        <v>433</v>
      </c>
      <c r="G216" s="231"/>
      <c r="H216" s="231"/>
      <c r="I216" s="231"/>
      <c r="J216" s="162" t="s">
        <v>155</v>
      </c>
      <c r="K216" s="163">
        <v>14</v>
      </c>
      <c r="L216" s="232">
        <v>0</v>
      </c>
      <c r="M216" s="231"/>
      <c r="N216" s="233">
        <f>ROUND($L$216*$K$216,2)</f>
        <v>0</v>
      </c>
      <c r="O216" s="218"/>
      <c r="P216" s="218"/>
      <c r="Q216" s="218"/>
      <c r="R216" s="24"/>
      <c r="T216" s="138"/>
      <c r="U216" s="30" t="s">
        <v>38</v>
      </c>
      <c r="V216" s="139">
        <v>0</v>
      </c>
      <c r="W216" s="139">
        <f>$V$216*$K$216</f>
        <v>0</v>
      </c>
      <c r="X216" s="139">
        <v>0.0002</v>
      </c>
      <c r="Y216" s="139">
        <f>$X$216*$K$216</f>
        <v>0.0028</v>
      </c>
      <c r="Z216" s="139">
        <v>0</v>
      </c>
      <c r="AA216" s="140">
        <f>$Z$216*$K$216</f>
        <v>0</v>
      </c>
      <c r="AR216" s="6" t="s">
        <v>238</v>
      </c>
      <c r="AT216" s="6" t="s">
        <v>348</v>
      </c>
      <c r="AU216" s="6" t="s">
        <v>103</v>
      </c>
      <c r="AY216" s="6" t="s">
        <v>144</v>
      </c>
      <c r="BE216" s="88">
        <f>IF($U$216="základní",$N$216,0)</f>
        <v>0</v>
      </c>
      <c r="BF216" s="88">
        <f>IF($U$216="snížená",$N$216,0)</f>
        <v>0</v>
      </c>
      <c r="BG216" s="88">
        <f>IF($U$216="zákl. přenesená",$N$216,0)</f>
        <v>0</v>
      </c>
      <c r="BH216" s="88">
        <f>IF($U$216="sníž. přenesená",$N$216,0)</f>
        <v>0</v>
      </c>
      <c r="BI216" s="88">
        <f>IF($U$216="nulová",$N$216,0)</f>
        <v>0</v>
      </c>
      <c r="BJ216" s="6" t="s">
        <v>17</v>
      </c>
      <c r="BK216" s="88">
        <f>ROUND($L$216*$K$216,2)</f>
        <v>0</v>
      </c>
      <c r="BL216" s="6" t="s">
        <v>149</v>
      </c>
    </row>
    <row r="217" spans="2:51" s="6" customFormat="1" ht="15.75" customHeight="1">
      <c r="B217" s="146"/>
      <c r="C217" s="147"/>
      <c r="D217" s="147"/>
      <c r="E217" s="147"/>
      <c r="F217" s="226" t="s">
        <v>434</v>
      </c>
      <c r="G217" s="227"/>
      <c r="H217" s="227"/>
      <c r="I217" s="227"/>
      <c r="J217" s="147"/>
      <c r="K217" s="148">
        <v>14</v>
      </c>
      <c r="L217" s="147"/>
      <c r="M217" s="147"/>
      <c r="N217" s="147"/>
      <c r="O217" s="147"/>
      <c r="P217" s="147"/>
      <c r="Q217" s="147"/>
      <c r="R217" s="149"/>
      <c r="T217" s="150"/>
      <c r="U217" s="147"/>
      <c r="V217" s="147"/>
      <c r="W217" s="147"/>
      <c r="X217" s="147"/>
      <c r="Y217" s="147"/>
      <c r="Z217" s="147"/>
      <c r="AA217" s="151"/>
      <c r="AT217" s="152" t="s">
        <v>315</v>
      </c>
      <c r="AU217" s="152" t="s">
        <v>103</v>
      </c>
      <c r="AV217" s="152" t="s">
        <v>103</v>
      </c>
      <c r="AW217" s="152" t="s">
        <v>113</v>
      </c>
      <c r="AX217" s="152" t="s">
        <v>17</v>
      </c>
      <c r="AY217" s="152" t="s">
        <v>144</v>
      </c>
    </row>
    <row r="218" spans="2:64" s="6" customFormat="1" ht="27" customHeight="1">
      <c r="B218" s="22"/>
      <c r="C218" s="134" t="s">
        <v>278</v>
      </c>
      <c r="D218" s="134" t="s">
        <v>145</v>
      </c>
      <c r="E218" s="135" t="s">
        <v>435</v>
      </c>
      <c r="F218" s="217" t="s">
        <v>436</v>
      </c>
      <c r="G218" s="218"/>
      <c r="H218" s="218"/>
      <c r="I218" s="218"/>
      <c r="J218" s="136" t="s">
        <v>185</v>
      </c>
      <c r="K218" s="137">
        <v>0.597</v>
      </c>
      <c r="L218" s="219">
        <v>0</v>
      </c>
      <c r="M218" s="218"/>
      <c r="N218" s="220">
        <f>ROUND($L$218*$K$218,2)</f>
        <v>0</v>
      </c>
      <c r="O218" s="218"/>
      <c r="P218" s="218"/>
      <c r="Q218" s="218"/>
      <c r="R218" s="24"/>
      <c r="T218" s="138"/>
      <c r="U218" s="30" t="s">
        <v>38</v>
      </c>
      <c r="V218" s="139">
        <v>2.447</v>
      </c>
      <c r="W218" s="139">
        <f>$V$218*$K$218</f>
        <v>1.460859</v>
      </c>
      <c r="X218" s="139">
        <v>0</v>
      </c>
      <c r="Y218" s="139">
        <f>$X$218*$K$218</f>
        <v>0</v>
      </c>
      <c r="Z218" s="139">
        <v>0</v>
      </c>
      <c r="AA218" s="140">
        <f>$Z$218*$K$218</f>
        <v>0</v>
      </c>
      <c r="AR218" s="6" t="s">
        <v>149</v>
      </c>
      <c r="AT218" s="6" t="s">
        <v>145</v>
      </c>
      <c r="AU218" s="6" t="s">
        <v>103</v>
      </c>
      <c r="AY218" s="6" t="s">
        <v>144</v>
      </c>
      <c r="BE218" s="88">
        <f>IF($U$218="základní",$N$218,0)</f>
        <v>0</v>
      </c>
      <c r="BF218" s="88">
        <f>IF($U$218="snížená",$N$218,0)</f>
        <v>0</v>
      </c>
      <c r="BG218" s="88">
        <f>IF($U$218="zákl. přenesená",$N$218,0)</f>
        <v>0</v>
      </c>
      <c r="BH218" s="88">
        <f>IF($U$218="sníž. přenesená",$N$218,0)</f>
        <v>0</v>
      </c>
      <c r="BI218" s="88">
        <f>IF($U$218="nulová",$N$218,0)</f>
        <v>0</v>
      </c>
      <c r="BJ218" s="6" t="s">
        <v>17</v>
      </c>
      <c r="BK218" s="88">
        <f>ROUND($L$218*$K$218,2)</f>
        <v>0</v>
      </c>
      <c r="BL218" s="6" t="s">
        <v>149</v>
      </c>
    </row>
    <row r="219" spans="2:63" s="123" customFormat="1" ht="30.75" customHeight="1">
      <c r="B219" s="124"/>
      <c r="C219" s="125"/>
      <c r="D219" s="133" t="s">
        <v>306</v>
      </c>
      <c r="E219" s="125"/>
      <c r="F219" s="125"/>
      <c r="G219" s="125"/>
      <c r="H219" s="125"/>
      <c r="I219" s="125"/>
      <c r="J219" s="125"/>
      <c r="K219" s="125"/>
      <c r="L219" s="125"/>
      <c r="M219" s="125"/>
      <c r="N219" s="225">
        <f>$BK$219</f>
        <v>0</v>
      </c>
      <c r="O219" s="224"/>
      <c r="P219" s="224"/>
      <c r="Q219" s="224"/>
      <c r="R219" s="127"/>
      <c r="T219" s="128"/>
      <c r="U219" s="125"/>
      <c r="V219" s="125"/>
      <c r="W219" s="129">
        <f>SUM($W$220:$W$234)</f>
        <v>49.39930500000001</v>
      </c>
      <c r="X219" s="125"/>
      <c r="Y219" s="129">
        <f>SUM($Y$220:$Y$234)</f>
        <v>0.87506105</v>
      </c>
      <c r="Z219" s="125"/>
      <c r="AA219" s="130">
        <f>SUM($AA$220:$AA$234)</f>
        <v>2.8718600999999997</v>
      </c>
      <c r="AR219" s="131" t="s">
        <v>103</v>
      </c>
      <c r="AT219" s="131" t="s">
        <v>72</v>
      </c>
      <c r="AU219" s="131" t="s">
        <v>17</v>
      </c>
      <c r="AY219" s="131" t="s">
        <v>144</v>
      </c>
      <c r="BK219" s="132">
        <f>SUM($BK$220:$BK$234)</f>
        <v>0</v>
      </c>
    </row>
    <row r="220" spans="2:64" s="6" customFormat="1" ht="27" customHeight="1">
      <c r="B220" s="22"/>
      <c r="C220" s="134" t="s">
        <v>281</v>
      </c>
      <c r="D220" s="134" t="s">
        <v>145</v>
      </c>
      <c r="E220" s="135" t="s">
        <v>437</v>
      </c>
      <c r="F220" s="217" t="s">
        <v>438</v>
      </c>
      <c r="G220" s="218"/>
      <c r="H220" s="218"/>
      <c r="I220" s="218"/>
      <c r="J220" s="136" t="s">
        <v>328</v>
      </c>
      <c r="K220" s="137">
        <v>34.53</v>
      </c>
      <c r="L220" s="219">
        <v>0</v>
      </c>
      <c r="M220" s="218"/>
      <c r="N220" s="220">
        <f>ROUND($L$220*$K$220,2)</f>
        <v>0</v>
      </c>
      <c r="O220" s="218"/>
      <c r="P220" s="218"/>
      <c r="Q220" s="218"/>
      <c r="R220" s="24"/>
      <c r="T220" s="138"/>
      <c r="U220" s="30" t="s">
        <v>38</v>
      </c>
      <c r="V220" s="139">
        <v>0.368</v>
      </c>
      <c r="W220" s="139">
        <f>$V$220*$K$220</f>
        <v>12.707040000000001</v>
      </c>
      <c r="X220" s="139">
        <v>0</v>
      </c>
      <c r="Y220" s="139">
        <f>$X$220*$K$220</f>
        <v>0</v>
      </c>
      <c r="Z220" s="139">
        <v>0.08317</v>
      </c>
      <c r="AA220" s="140">
        <f>$Z$220*$K$220</f>
        <v>2.8718600999999997</v>
      </c>
      <c r="AR220" s="6" t="s">
        <v>149</v>
      </c>
      <c r="AT220" s="6" t="s">
        <v>145</v>
      </c>
      <c r="AU220" s="6" t="s">
        <v>103</v>
      </c>
      <c r="AY220" s="6" t="s">
        <v>144</v>
      </c>
      <c r="BE220" s="88">
        <f>IF($U$220="základní",$N$220,0)</f>
        <v>0</v>
      </c>
      <c r="BF220" s="88">
        <f>IF($U$220="snížená",$N$220,0)</f>
        <v>0</v>
      </c>
      <c r="BG220" s="88">
        <f>IF($U$220="zákl. přenesená",$N$220,0)</f>
        <v>0</v>
      </c>
      <c r="BH220" s="88">
        <f>IF($U$220="sníž. přenesená",$N$220,0)</f>
        <v>0</v>
      </c>
      <c r="BI220" s="88">
        <f>IF($U$220="nulová",$N$220,0)</f>
        <v>0</v>
      </c>
      <c r="BJ220" s="6" t="s">
        <v>17</v>
      </c>
      <c r="BK220" s="88">
        <f>ROUND($L$220*$K$220,2)</f>
        <v>0</v>
      </c>
      <c r="BL220" s="6" t="s">
        <v>149</v>
      </c>
    </row>
    <row r="221" spans="2:51" s="6" customFormat="1" ht="27" customHeight="1">
      <c r="B221" s="146"/>
      <c r="C221" s="147"/>
      <c r="D221" s="147"/>
      <c r="E221" s="147"/>
      <c r="F221" s="226" t="s">
        <v>439</v>
      </c>
      <c r="G221" s="227"/>
      <c r="H221" s="227"/>
      <c r="I221" s="227"/>
      <c r="J221" s="147"/>
      <c r="K221" s="148">
        <v>34.53</v>
      </c>
      <c r="L221" s="147"/>
      <c r="M221" s="147"/>
      <c r="N221" s="147"/>
      <c r="O221" s="147"/>
      <c r="P221" s="147"/>
      <c r="Q221" s="147"/>
      <c r="R221" s="149"/>
      <c r="T221" s="150"/>
      <c r="U221" s="147"/>
      <c r="V221" s="147"/>
      <c r="W221" s="147"/>
      <c r="X221" s="147"/>
      <c r="Y221" s="147"/>
      <c r="Z221" s="147"/>
      <c r="AA221" s="151"/>
      <c r="AT221" s="152" t="s">
        <v>315</v>
      </c>
      <c r="AU221" s="152" t="s">
        <v>103</v>
      </c>
      <c r="AV221" s="152" t="s">
        <v>103</v>
      </c>
      <c r="AW221" s="152" t="s">
        <v>113</v>
      </c>
      <c r="AX221" s="152" t="s">
        <v>17</v>
      </c>
      <c r="AY221" s="152" t="s">
        <v>144</v>
      </c>
    </row>
    <row r="222" spans="2:64" s="6" customFormat="1" ht="39" customHeight="1">
      <c r="B222" s="22"/>
      <c r="C222" s="134" t="s">
        <v>284</v>
      </c>
      <c r="D222" s="134" t="s">
        <v>145</v>
      </c>
      <c r="E222" s="135" t="s">
        <v>440</v>
      </c>
      <c r="F222" s="217" t="s">
        <v>441</v>
      </c>
      <c r="G222" s="218"/>
      <c r="H222" s="218"/>
      <c r="I222" s="218"/>
      <c r="J222" s="136" t="s">
        <v>328</v>
      </c>
      <c r="K222" s="137">
        <v>29.68</v>
      </c>
      <c r="L222" s="219">
        <v>0</v>
      </c>
      <c r="M222" s="218"/>
      <c r="N222" s="220">
        <f>ROUND($L$222*$K$222,2)</f>
        <v>0</v>
      </c>
      <c r="O222" s="218"/>
      <c r="P222" s="218"/>
      <c r="Q222" s="218"/>
      <c r="R222" s="24"/>
      <c r="T222" s="138"/>
      <c r="U222" s="30" t="s">
        <v>38</v>
      </c>
      <c r="V222" s="139">
        <v>0.685</v>
      </c>
      <c r="W222" s="139">
        <f>$V$222*$K$222</f>
        <v>20.3308</v>
      </c>
      <c r="X222" s="139">
        <v>0.00392</v>
      </c>
      <c r="Y222" s="139">
        <f>$X$222*$K$222</f>
        <v>0.1163456</v>
      </c>
      <c r="Z222" s="139">
        <v>0</v>
      </c>
      <c r="AA222" s="140">
        <f>$Z$222*$K$222</f>
        <v>0</v>
      </c>
      <c r="AR222" s="6" t="s">
        <v>149</v>
      </c>
      <c r="AT222" s="6" t="s">
        <v>145</v>
      </c>
      <c r="AU222" s="6" t="s">
        <v>103</v>
      </c>
      <c r="AY222" s="6" t="s">
        <v>144</v>
      </c>
      <c r="BE222" s="88">
        <f>IF($U$222="základní",$N$222,0)</f>
        <v>0</v>
      </c>
      <c r="BF222" s="88">
        <f>IF($U$222="snížená",$N$222,0)</f>
        <v>0</v>
      </c>
      <c r="BG222" s="88">
        <f>IF($U$222="zákl. přenesená",$N$222,0)</f>
        <v>0</v>
      </c>
      <c r="BH222" s="88">
        <f>IF($U$222="sníž. přenesená",$N$222,0)</f>
        <v>0</v>
      </c>
      <c r="BI222" s="88">
        <f>IF($U$222="nulová",$N$222,0)</f>
        <v>0</v>
      </c>
      <c r="BJ222" s="6" t="s">
        <v>17</v>
      </c>
      <c r="BK222" s="88">
        <f>ROUND($L$222*$K$222,2)</f>
        <v>0</v>
      </c>
      <c r="BL222" s="6" t="s">
        <v>149</v>
      </c>
    </row>
    <row r="223" spans="2:51" s="6" customFormat="1" ht="15.75" customHeight="1">
      <c r="B223" s="146"/>
      <c r="C223" s="147"/>
      <c r="D223" s="147"/>
      <c r="E223" s="147"/>
      <c r="F223" s="226" t="s">
        <v>442</v>
      </c>
      <c r="G223" s="227"/>
      <c r="H223" s="227"/>
      <c r="I223" s="227"/>
      <c r="J223" s="147"/>
      <c r="K223" s="148">
        <v>29.68</v>
      </c>
      <c r="L223" s="147"/>
      <c r="M223" s="147"/>
      <c r="N223" s="147"/>
      <c r="O223" s="147"/>
      <c r="P223" s="147"/>
      <c r="Q223" s="147"/>
      <c r="R223" s="149"/>
      <c r="T223" s="150"/>
      <c r="U223" s="147"/>
      <c r="V223" s="147"/>
      <c r="W223" s="147"/>
      <c r="X223" s="147"/>
      <c r="Y223" s="147"/>
      <c r="Z223" s="147"/>
      <c r="AA223" s="151"/>
      <c r="AT223" s="152" t="s">
        <v>315</v>
      </c>
      <c r="AU223" s="152" t="s">
        <v>103</v>
      </c>
      <c r="AV223" s="152" t="s">
        <v>103</v>
      </c>
      <c r="AW223" s="152" t="s">
        <v>113</v>
      </c>
      <c r="AX223" s="152" t="s">
        <v>17</v>
      </c>
      <c r="AY223" s="152" t="s">
        <v>144</v>
      </c>
    </row>
    <row r="224" spans="2:64" s="6" customFormat="1" ht="39" customHeight="1">
      <c r="B224" s="22"/>
      <c r="C224" s="160" t="s">
        <v>287</v>
      </c>
      <c r="D224" s="160" t="s">
        <v>348</v>
      </c>
      <c r="E224" s="161" t="s">
        <v>443</v>
      </c>
      <c r="F224" s="230" t="s">
        <v>444</v>
      </c>
      <c r="G224" s="231"/>
      <c r="H224" s="231"/>
      <c r="I224" s="231"/>
      <c r="J224" s="162" t="s">
        <v>328</v>
      </c>
      <c r="K224" s="163">
        <v>32.648</v>
      </c>
      <c r="L224" s="232">
        <v>0</v>
      </c>
      <c r="M224" s="231"/>
      <c r="N224" s="233">
        <f>ROUND($L$224*$K$224,2)</f>
        <v>0</v>
      </c>
      <c r="O224" s="218"/>
      <c r="P224" s="218"/>
      <c r="Q224" s="218"/>
      <c r="R224" s="24"/>
      <c r="T224" s="138"/>
      <c r="U224" s="30" t="s">
        <v>38</v>
      </c>
      <c r="V224" s="139">
        <v>0</v>
      </c>
      <c r="W224" s="139">
        <f>$V$224*$K$224</f>
        <v>0</v>
      </c>
      <c r="X224" s="139">
        <v>0.0155</v>
      </c>
      <c r="Y224" s="139">
        <f>$X$224*$K$224</f>
        <v>0.506044</v>
      </c>
      <c r="Z224" s="139">
        <v>0</v>
      </c>
      <c r="AA224" s="140">
        <f>$Z$224*$K$224</f>
        <v>0</v>
      </c>
      <c r="AR224" s="6" t="s">
        <v>238</v>
      </c>
      <c r="AT224" s="6" t="s">
        <v>348</v>
      </c>
      <c r="AU224" s="6" t="s">
        <v>103</v>
      </c>
      <c r="AY224" s="6" t="s">
        <v>144</v>
      </c>
      <c r="BE224" s="88">
        <f>IF($U$224="základní",$N$224,0)</f>
        <v>0</v>
      </c>
      <c r="BF224" s="88">
        <f>IF($U$224="snížená",$N$224,0)</f>
        <v>0</v>
      </c>
      <c r="BG224" s="88">
        <f>IF($U$224="zákl. přenesená",$N$224,0)</f>
        <v>0</v>
      </c>
      <c r="BH224" s="88">
        <f>IF($U$224="sníž. přenesená",$N$224,0)</f>
        <v>0</v>
      </c>
      <c r="BI224" s="88">
        <f>IF($U$224="nulová",$N$224,0)</f>
        <v>0</v>
      </c>
      <c r="BJ224" s="6" t="s">
        <v>17</v>
      </c>
      <c r="BK224" s="88">
        <f>ROUND($L$224*$K$224,2)</f>
        <v>0</v>
      </c>
      <c r="BL224" s="6" t="s">
        <v>149</v>
      </c>
    </row>
    <row r="225" spans="2:64" s="6" customFormat="1" ht="27" customHeight="1">
      <c r="B225" s="22"/>
      <c r="C225" s="134" t="s">
        <v>290</v>
      </c>
      <c r="D225" s="134" t="s">
        <v>145</v>
      </c>
      <c r="E225" s="135" t="s">
        <v>445</v>
      </c>
      <c r="F225" s="217" t="s">
        <v>446</v>
      </c>
      <c r="G225" s="218"/>
      <c r="H225" s="218"/>
      <c r="I225" s="218"/>
      <c r="J225" s="136" t="s">
        <v>328</v>
      </c>
      <c r="K225" s="137">
        <v>29.68</v>
      </c>
      <c r="L225" s="219">
        <v>0</v>
      </c>
      <c r="M225" s="218"/>
      <c r="N225" s="220">
        <f>ROUND($L$225*$K$225,2)</f>
        <v>0</v>
      </c>
      <c r="O225" s="218"/>
      <c r="P225" s="218"/>
      <c r="Q225" s="218"/>
      <c r="R225" s="24"/>
      <c r="T225" s="138"/>
      <c r="U225" s="30" t="s">
        <v>38</v>
      </c>
      <c r="V225" s="139">
        <v>0.1</v>
      </c>
      <c r="W225" s="139">
        <f>$V$225*$K$225</f>
        <v>2.968</v>
      </c>
      <c r="X225" s="139">
        <v>0</v>
      </c>
      <c r="Y225" s="139">
        <f>$X$225*$K$225</f>
        <v>0</v>
      </c>
      <c r="Z225" s="139">
        <v>0</v>
      </c>
      <c r="AA225" s="140">
        <f>$Z$225*$K$225</f>
        <v>0</v>
      </c>
      <c r="AR225" s="6" t="s">
        <v>149</v>
      </c>
      <c r="AT225" s="6" t="s">
        <v>145</v>
      </c>
      <c r="AU225" s="6" t="s">
        <v>103</v>
      </c>
      <c r="AY225" s="6" t="s">
        <v>144</v>
      </c>
      <c r="BE225" s="88">
        <f>IF($U$225="základní",$N$225,0)</f>
        <v>0</v>
      </c>
      <c r="BF225" s="88">
        <f>IF($U$225="snížená",$N$225,0)</f>
        <v>0</v>
      </c>
      <c r="BG225" s="88">
        <f>IF($U$225="zákl. přenesená",$N$225,0)</f>
        <v>0</v>
      </c>
      <c r="BH225" s="88">
        <f>IF($U$225="sníž. přenesená",$N$225,0)</f>
        <v>0</v>
      </c>
      <c r="BI225" s="88">
        <f>IF($U$225="nulová",$N$225,0)</f>
        <v>0</v>
      </c>
      <c r="BJ225" s="6" t="s">
        <v>17</v>
      </c>
      <c r="BK225" s="88">
        <f>ROUND($L$225*$K$225,2)</f>
        <v>0</v>
      </c>
      <c r="BL225" s="6" t="s">
        <v>149</v>
      </c>
    </row>
    <row r="226" spans="2:51" s="6" customFormat="1" ht="15.75" customHeight="1">
      <c r="B226" s="146"/>
      <c r="C226" s="147"/>
      <c r="D226" s="147"/>
      <c r="E226" s="147"/>
      <c r="F226" s="226" t="s">
        <v>447</v>
      </c>
      <c r="G226" s="227"/>
      <c r="H226" s="227"/>
      <c r="I226" s="227"/>
      <c r="J226" s="147"/>
      <c r="K226" s="148">
        <v>29.68</v>
      </c>
      <c r="L226" s="147"/>
      <c r="M226" s="147"/>
      <c r="N226" s="147"/>
      <c r="O226" s="147"/>
      <c r="P226" s="147"/>
      <c r="Q226" s="147"/>
      <c r="R226" s="149"/>
      <c r="T226" s="150"/>
      <c r="U226" s="147"/>
      <c r="V226" s="147"/>
      <c r="W226" s="147"/>
      <c r="X226" s="147"/>
      <c r="Y226" s="147"/>
      <c r="Z226" s="147"/>
      <c r="AA226" s="151"/>
      <c r="AT226" s="152" t="s">
        <v>315</v>
      </c>
      <c r="AU226" s="152" t="s">
        <v>103</v>
      </c>
      <c r="AV226" s="152" t="s">
        <v>103</v>
      </c>
      <c r="AW226" s="152" t="s">
        <v>113</v>
      </c>
      <c r="AX226" s="152" t="s">
        <v>17</v>
      </c>
      <c r="AY226" s="152" t="s">
        <v>144</v>
      </c>
    </row>
    <row r="227" spans="2:64" s="6" customFormat="1" ht="15.75" customHeight="1">
      <c r="B227" s="22"/>
      <c r="C227" s="134" t="s">
        <v>448</v>
      </c>
      <c r="D227" s="134" t="s">
        <v>145</v>
      </c>
      <c r="E227" s="135" t="s">
        <v>449</v>
      </c>
      <c r="F227" s="217" t="s">
        <v>450</v>
      </c>
      <c r="G227" s="218"/>
      <c r="H227" s="218"/>
      <c r="I227" s="218"/>
      <c r="J227" s="136" t="s">
        <v>328</v>
      </c>
      <c r="K227" s="137">
        <v>59.36</v>
      </c>
      <c r="L227" s="219">
        <v>0</v>
      </c>
      <c r="M227" s="218"/>
      <c r="N227" s="220">
        <f>ROUND($L$227*$K$227,2)</f>
        <v>0</v>
      </c>
      <c r="O227" s="218"/>
      <c r="P227" s="218"/>
      <c r="Q227" s="218"/>
      <c r="R227" s="24"/>
      <c r="T227" s="138"/>
      <c r="U227" s="30" t="s">
        <v>38</v>
      </c>
      <c r="V227" s="139">
        <v>0.044</v>
      </c>
      <c r="W227" s="139">
        <f>$V$227*$K$227</f>
        <v>2.61184</v>
      </c>
      <c r="X227" s="139">
        <v>0.0003</v>
      </c>
      <c r="Y227" s="139">
        <f>$X$227*$K$227</f>
        <v>0.017807999999999997</v>
      </c>
      <c r="Z227" s="139">
        <v>0</v>
      </c>
      <c r="AA227" s="140">
        <f>$Z$227*$K$227</f>
        <v>0</v>
      </c>
      <c r="AR227" s="6" t="s">
        <v>149</v>
      </c>
      <c r="AT227" s="6" t="s">
        <v>145</v>
      </c>
      <c r="AU227" s="6" t="s">
        <v>103</v>
      </c>
      <c r="AY227" s="6" t="s">
        <v>144</v>
      </c>
      <c r="BE227" s="88">
        <f>IF($U$227="základní",$N$227,0)</f>
        <v>0</v>
      </c>
      <c r="BF227" s="88">
        <f>IF($U$227="snížená",$N$227,0)</f>
        <v>0</v>
      </c>
      <c r="BG227" s="88">
        <f>IF($U$227="zákl. přenesená",$N$227,0)</f>
        <v>0</v>
      </c>
      <c r="BH227" s="88">
        <f>IF($U$227="sníž. přenesená",$N$227,0)</f>
        <v>0</v>
      </c>
      <c r="BI227" s="88">
        <f>IF($U$227="nulová",$N$227,0)</f>
        <v>0</v>
      </c>
      <c r="BJ227" s="6" t="s">
        <v>17</v>
      </c>
      <c r="BK227" s="88">
        <f>ROUND($L$227*$K$227,2)</f>
        <v>0</v>
      </c>
      <c r="BL227" s="6" t="s">
        <v>149</v>
      </c>
    </row>
    <row r="228" spans="2:51" s="6" customFormat="1" ht="15.75" customHeight="1">
      <c r="B228" s="146"/>
      <c r="C228" s="147"/>
      <c r="D228" s="147"/>
      <c r="E228" s="147"/>
      <c r="F228" s="226" t="s">
        <v>451</v>
      </c>
      <c r="G228" s="227"/>
      <c r="H228" s="227"/>
      <c r="I228" s="227"/>
      <c r="J228" s="147"/>
      <c r="K228" s="148">
        <v>59.36</v>
      </c>
      <c r="L228" s="147"/>
      <c r="M228" s="147"/>
      <c r="N228" s="147"/>
      <c r="O228" s="147"/>
      <c r="P228" s="147"/>
      <c r="Q228" s="147"/>
      <c r="R228" s="149"/>
      <c r="T228" s="150"/>
      <c r="U228" s="147"/>
      <c r="V228" s="147"/>
      <c r="W228" s="147"/>
      <c r="X228" s="147"/>
      <c r="Y228" s="147"/>
      <c r="Z228" s="147"/>
      <c r="AA228" s="151"/>
      <c r="AT228" s="152" t="s">
        <v>315</v>
      </c>
      <c r="AU228" s="152" t="s">
        <v>103</v>
      </c>
      <c r="AV228" s="152" t="s">
        <v>103</v>
      </c>
      <c r="AW228" s="152" t="s">
        <v>113</v>
      </c>
      <c r="AX228" s="152" t="s">
        <v>17</v>
      </c>
      <c r="AY228" s="152" t="s">
        <v>144</v>
      </c>
    </row>
    <row r="229" spans="2:64" s="6" customFormat="1" ht="27" customHeight="1">
      <c r="B229" s="22"/>
      <c r="C229" s="134" t="s">
        <v>452</v>
      </c>
      <c r="D229" s="134" t="s">
        <v>145</v>
      </c>
      <c r="E229" s="135" t="s">
        <v>453</v>
      </c>
      <c r="F229" s="217" t="s">
        <v>454</v>
      </c>
      <c r="G229" s="218"/>
      <c r="H229" s="218"/>
      <c r="I229" s="218"/>
      <c r="J229" s="136" t="s">
        <v>148</v>
      </c>
      <c r="K229" s="137">
        <v>16.35</v>
      </c>
      <c r="L229" s="219">
        <v>0</v>
      </c>
      <c r="M229" s="218"/>
      <c r="N229" s="220">
        <f>ROUND($L$229*$K$229,2)</f>
        <v>0</v>
      </c>
      <c r="O229" s="218"/>
      <c r="P229" s="218"/>
      <c r="Q229" s="218"/>
      <c r="R229" s="24"/>
      <c r="T229" s="138"/>
      <c r="U229" s="30" t="s">
        <v>38</v>
      </c>
      <c r="V229" s="139">
        <v>0.045</v>
      </c>
      <c r="W229" s="139">
        <f>$V$229*$K$229</f>
        <v>0.73575</v>
      </c>
      <c r="X229" s="139">
        <v>0.0002</v>
      </c>
      <c r="Y229" s="139">
        <f>$X$229*$K$229</f>
        <v>0.0032700000000000003</v>
      </c>
      <c r="Z229" s="139">
        <v>0</v>
      </c>
      <c r="AA229" s="140">
        <f>$Z$229*$K$229</f>
        <v>0</v>
      </c>
      <c r="AR229" s="6" t="s">
        <v>149</v>
      </c>
      <c r="AT229" s="6" t="s">
        <v>145</v>
      </c>
      <c r="AU229" s="6" t="s">
        <v>103</v>
      </c>
      <c r="AY229" s="6" t="s">
        <v>144</v>
      </c>
      <c r="BE229" s="88">
        <f>IF($U$229="základní",$N$229,0)</f>
        <v>0</v>
      </c>
      <c r="BF229" s="88">
        <f>IF($U$229="snížená",$N$229,0)</f>
        <v>0</v>
      </c>
      <c r="BG229" s="88">
        <f>IF($U$229="zákl. přenesená",$N$229,0)</f>
        <v>0</v>
      </c>
      <c r="BH229" s="88">
        <f>IF($U$229="sníž. přenesená",$N$229,0)</f>
        <v>0</v>
      </c>
      <c r="BI229" s="88">
        <f>IF($U$229="nulová",$N$229,0)</f>
        <v>0</v>
      </c>
      <c r="BJ229" s="6" t="s">
        <v>17</v>
      </c>
      <c r="BK229" s="88">
        <f>ROUND($L$229*$K$229,2)</f>
        <v>0</v>
      </c>
      <c r="BL229" s="6" t="s">
        <v>149</v>
      </c>
    </row>
    <row r="230" spans="2:51" s="6" customFormat="1" ht="15.75" customHeight="1">
      <c r="B230" s="146"/>
      <c r="C230" s="147"/>
      <c r="D230" s="147"/>
      <c r="E230" s="147"/>
      <c r="F230" s="226" t="s">
        <v>455</v>
      </c>
      <c r="G230" s="227"/>
      <c r="H230" s="227"/>
      <c r="I230" s="227"/>
      <c r="J230" s="147"/>
      <c r="K230" s="148">
        <v>16.35</v>
      </c>
      <c r="L230" s="147"/>
      <c r="M230" s="147"/>
      <c r="N230" s="147"/>
      <c r="O230" s="147"/>
      <c r="P230" s="147"/>
      <c r="Q230" s="147"/>
      <c r="R230" s="149"/>
      <c r="T230" s="150"/>
      <c r="U230" s="147"/>
      <c r="V230" s="147"/>
      <c r="W230" s="147"/>
      <c r="X230" s="147"/>
      <c r="Y230" s="147"/>
      <c r="Z230" s="147"/>
      <c r="AA230" s="151"/>
      <c r="AT230" s="152" t="s">
        <v>315</v>
      </c>
      <c r="AU230" s="152" t="s">
        <v>103</v>
      </c>
      <c r="AV230" s="152" t="s">
        <v>103</v>
      </c>
      <c r="AW230" s="152" t="s">
        <v>113</v>
      </c>
      <c r="AX230" s="152" t="s">
        <v>17</v>
      </c>
      <c r="AY230" s="152" t="s">
        <v>144</v>
      </c>
    </row>
    <row r="231" spans="2:64" s="6" customFormat="1" ht="27" customHeight="1">
      <c r="B231" s="22"/>
      <c r="C231" s="160" t="s">
        <v>456</v>
      </c>
      <c r="D231" s="160" t="s">
        <v>348</v>
      </c>
      <c r="E231" s="161" t="s">
        <v>457</v>
      </c>
      <c r="F231" s="230" t="s">
        <v>458</v>
      </c>
      <c r="G231" s="231"/>
      <c r="H231" s="231"/>
      <c r="I231" s="231"/>
      <c r="J231" s="162" t="s">
        <v>148</v>
      </c>
      <c r="K231" s="163">
        <v>17.985</v>
      </c>
      <c r="L231" s="232">
        <v>0</v>
      </c>
      <c r="M231" s="231"/>
      <c r="N231" s="233">
        <f>ROUND($L$231*$K$231,2)</f>
        <v>0</v>
      </c>
      <c r="O231" s="218"/>
      <c r="P231" s="218"/>
      <c r="Q231" s="218"/>
      <c r="R231" s="24"/>
      <c r="T231" s="138"/>
      <c r="U231" s="30" t="s">
        <v>38</v>
      </c>
      <c r="V231" s="139">
        <v>0</v>
      </c>
      <c r="W231" s="139">
        <f>$V$231*$K$231</f>
        <v>0</v>
      </c>
      <c r="X231" s="139">
        <v>0.00017</v>
      </c>
      <c r="Y231" s="139">
        <f>$X$231*$K$231</f>
        <v>0.00305745</v>
      </c>
      <c r="Z231" s="139">
        <v>0</v>
      </c>
      <c r="AA231" s="140">
        <f>$Z$231*$K$231</f>
        <v>0</v>
      </c>
      <c r="AR231" s="6" t="s">
        <v>238</v>
      </c>
      <c r="AT231" s="6" t="s">
        <v>348</v>
      </c>
      <c r="AU231" s="6" t="s">
        <v>103</v>
      </c>
      <c r="AY231" s="6" t="s">
        <v>144</v>
      </c>
      <c r="BE231" s="88">
        <f>IF($U$231="základní",$N$231,0)</f>
        <v>0</v>
      </c>
      <c r="BF231" s="88">
        <f>IF($U$231="snížená",$N$231,0)</f>
        <v>0</v>
      </c>
      <c r="BG231" s="88">
        <f>IF($U$231="zákl. přenesená",$N$231,0)</f>
        <v>0</v>
      </c>
      <c r="BH231" s="88">
        <f>IF($U$231="sníž. přenesená",$N$231,0)</f>
        <v>0</v>
      </c>
      <c r="BI231" s="88">
        <f>IF($U$231="nulová",$N$231,0)</f>
        <v>0</v>
      </c>
      <c r="BJ231" s="6" t="s">
        <v>17</v>
      </c>
      <c r="BK231" s="88">
        <f>ROUND($L$231*$K$231,2)</f>
        <v>0</v>
      </c>
      <c r="BL231" s="6" t="s">
        <v>149</v>
      </c>
    </row>
    <row r="232" spans="2:64" s="6" customFormat="1" ht="27" customHeight="1">
      <c r="B232" s="22"/>
      <c r="C232" s="134" t="s">
        <v>459</v>
      </c>
      <c r="D232" s="134" t="s">
        <v>145</v>
      </c>
      <c r="E232" s="135" t="s">
        <v>460</v>
      </c>
      <c r="F232" s="217" t="s">
        <v>461</v>
      </c>
      <c r="G232" s="218"/>
      <c r="H232" s="218"/>
      <c r="I232" s="218"/>
      <c r="J232" s="136" t="s">
        <v>328</v>
      </c>
      <c r="K232" s="137">
        <v>29.68</v>
      </c>
      <c r="L232" s="219">
        <v>0</v>
      </c>
      <c r="M232" s="218"/>
      <c r="N232" s="220">
        <f>ROUND($L$232*$K$232,2)</f>
        <v>0</v>
      </c>
      <c r="O232" s="218"/>
      <c r="P232" s="218"/>
      <c r="Q232" s="218"/>
      <c r="R232" s="24"/>
      <c r="T232" s="138"/>
      <c r="U232" s="30" t="s">
        <v>38</v>
      </c>
      <c r="V232" s="139">
        <v>0.3</v>
      </c>
      <c r="W232" s="139">
        <f>$V$232*$K$232</f>
        <v>8.904</v>
      </c>
      <c r="X232" s="139">
        <v>0.0077</v>
      </c>
      <c r="Y232" s="139">
        <f>$X$232*$K$232</f>
        <v>0.22853600000000002</v>
      </c>
      <c r="Z232" s="139">
        <v>0</v>
      </c>
      <c r="AA232" s="140">
        <f>$Z$232*$K$232</f>
        <v>0</v>
      </c>
      <c r="AR232" s="6" t="s">
        <v>149</v>
      </c>
      <c r="AT232" s="6" t="s">
        <v>145</v>
      </c>
      <c r="AU232" s="6" t="s">
        <v>103</v>
      </c>
      <c r="AY232" s="6" t="s">
        <v>144</v>
      </c>
      <c r="BE232" s="88">
        <f>IF($U$232="základní",$N$232,0)</f>
        <v>0</v>
      </c>
      <c r="BF232" s="88">
        <f>IF($U$232="snížená",$N$232,0)</f>
        <v>0</v>
      </c>
      <c r="BG232" s="88">
        <f>IF($U$232="zákl. přenesená",$N$232,0)</f>
        <v>0</v>
      </c>
      <c r="BH232" s="88">
        <f>IF($U$232="sníž. přenesená",$N$232,0)</f>
        <v>0</v>
      </c>
      <c r="BI232" s="88">
        <f>IF($U$232="nulová",$N$232,0)</f>
        <v>0</v>
      </c>
      <c r="BJ232" s="6" t="s">
        <v>17</v>
      </c>
      <c r="BK232" s="88">
        <f>ROUND($L$232*$K$232,2)</f>
        <v>0</v>
      </c>
      <c r="BL232" s="6" t="s">
        <v>149</v>
      </c>
    </row>
    <row r="233" spans="2:51" s="6" customFormat="1" ht="15.75" customHeight="1">
      <c r="B233" s="146"/>
      <c r="C233" s="147"/>
      <c r="D233" s="147"/>
      <c r="E233" s="147"/>
      <c r="F233" s="226" t="s">
        <v>447</v>
      </c>
      <c r="G233" s="227"/>
      <c r="H233" s="227"/>
      <c r="I233" s="227"/>
      <c r="J233" s="147"/>
      <c r="K233" s="148">
        <v>29.68</v>
      </c>
      <c r="L233" s="147"/>
      <c r="M233" s="147"/>
      <c r="N233" s="147"/>
      <c r="O233" s="147"/>
      <c r="P233" s="147"/>
      <c r="Q233" s="147"/>
      <c r="R233" s="149"/>
      <c r="T233" s="150"/>
      <c r="U233" s="147"/>
      <c r="V233" s="147"/>
      <c r="W233" s="147"/>
      <c r="X233" s="147"/>
      <c r="Y233" s="147"/>
      <c r="Z233" s="147"/>
      <c r="AA233" s="151"/>
      <c r="AT233" s="152" t="s">
        <v>315</v>
      </c>
      <c r="AU233" s="152" t="s">
        <v>103</v>
      </c>
      <c r="AV233" s="152" t="s">
        <v>103</v>
      </c>
      <c r="AW233" s="152" t="s">
        <v>113</v>
      </c>
      <c r="AX233" s="152" t="s">
        <v>17</v>
      </c>
      <c r="AY233" s="152" t="s">
        <v>144</v>
      </c>
    </row>
    <row r="234" spans="2:64" s="6" customFormat="1" ht="27" customHeight="1">
      <c r="B234" s="22"/>
      <c r="C234" s="134" t="s">
        <v>462</v>
      </c>
      <c r="D234" s="134" t="s">
        <v>145</v>
      </c>
      <c r="E234" s="135" t="s">
        <v>463</v>
      </c>
      <c r="F234" s="217" t="s">
        <v>464</v>
      </c>
      <c r="G234" s="218"/>
      <c r="H234" s="218"/>
      <c r="I234" s="218"/>
      <c r="J234" s="136" t="s">
        <v>185</v>
      </c>
      <c r="K234" s="137">
        <v>0.875</v>
      </c>
      <c r="L234" s="219">
        <v>0</v>
      </c>
      <c r="M234" s="218"/>
      <c r="N234" s="220">
        <f>ROUND($L$234*$K$234,2)</f>
        <v>0</v>
      </c>
      <c r="O234" s="218"/>
      <c r="P234" s="218"/>
      <c r="Q234" s="218"/>
      <c r="R234" s="24"/>
      <c r="T234" s="138"/>
      <c r="U234" s="30" t="s">
        <v>38</v>
      </c>
      <c r="V234" s="139">
        <v>1.305</v>
      </c>
      <c r="W234" s="139">
        <f>$V$234*$K$234</f>
        <v>1.141875</v>
      </c>
      <c r="X234" s="139">
        <v>0</v>
      </c>
      <c r="Y234" s="139">
        <f>$X$234*$K$234</f>
        <v>0</v>
      </c>
      <c r="Z234" s="139">
        <v>0</v>
      </c>
      <c r="AA234" s="140">
        <f>$Z$234*$K$234</f>
        <v>0</v>
      </c>
      <c r="AR234" s="6" t="s">
        <v>149</v>
      </c>
      <c r="AT234" s="6" t="s">
        <v>145</v>
      </c>
      <c r="AU234" s="6" t="s">
        <v>103</v>
      </c>
      <c r="AY234" s="6" t="s">
        <v>144</v>
      </c>
      <c r="BE234" s="88">
        <f>IF($U$234="základní",$N$234,0)</f>
        <v>0</v>
      </c>
      <c r="BF234" s="88">
        <f>IF($U$234="snížená",$N$234,0)</f>
        <v>0</v>
      </c>
      <c r="BG234" s="88">
        <f>IF($U$234="zákl. přenesená",$N$234,0)</f>
        <v>0</v>
      </c>
      <c r="BH234" s="88">
        <f>IF($U$234="sníž. přenesená",$N$234,0)</f>
        <v>0</v>
      </c>
      <c r="BI234" s="88">
        <f>IF($U$234="nulová",$N$234,0)</f>
        <v>0</v>
      </c>
      <c r="BJ234" s="6" t="s">
        <v>17</v>
      </c>
      <c r="BK234" s="88">
        <f>ROUND($L$234*$K$234,2)</f>
        <v>0</v>
      </c>
      <c r="BL234" s="6" t="s">
        <v>149</v>
      </c>
    </row>
    <row r="235" spans="2:63" s="123" customFormat="1" ht="30.75" customHeight="1">
      <c r="B235" s="124"/>
      <c r="C235" s="125"/>
      <c r="D235" s="133" t="s">
        <v>307</v>
      </c>
      <c r="E235" s="125"/>
      <c r="F235" s="125"/>
      <c r="G235" s="125"/>
      <c r="H235" s="125"/>
      <c r="I235" s="125"/>
      <c r="J235" s="125"/>
      <c r="K235" s="125"/>
      <c r="L235" s="125"/>
      <c r="M235" s="125"/>
      <c r="N235" s="225">
        <f>$BK$235</f>
        <v>0</v>
      </c>
      <c r="O235" s="224"/>
      <c r="P235" s="224"/>
      <c r="Q235" s="224"/>
      <c r="R235" s="127"/>
      <c r="T235" s="128"/>
      <c r="U235" s="125"/>
      <c r="V235" s="125"/>
      <c r="W235" s="129">
        <f>SUM($W$236:$W$247)</f>
        <v>196.853738</v>
      </c>
      <c r="X235" s="125"/>
      <c r="Y235" s="129">
        <f>SUM($Y$236:$Y$247)</f>
        <v>2.091888</v>
      </c>
      <c r="Z235" s="125"/>
      <c r="AA235" s="130">
        <f>SUM($AA$236:$AA$247)</f>
        <v>0.23431000000000002</v>
      </c>
      <c r="AR235" s="131" t="s">
        <v>103</v>
      </c>
      <c r="AT235" s="131" t="s">
        <v>72</v>
      </c>
      <c r="AU235" s="131" t="s">
        <v>17</v>
      </c>
      <c r="AY235" s="131" t="s">
        <v>144</v>
      </c>
      <c r="BK235" s="132">
        <f>SUM($BK$236:$BK$247)</f>
        <v>0</v>
      </c>
    </row>
    <row r="236" spans="2:64" s="6" customFormat="1" ht="27" customHeight="1">
      <c r="B236" s="22"/>
      <c r="C236" s="134" t="s">
        <v>465</v>
      </c>
      <c r="D236" s="134" t="s">
        <v>145</v>
      </c>
      <c r="E236" s="135" t="s">
        <v>466</v>
      </c>
      <c r="F236" s="217" t="s">
        <v>467</v>
      </c>
      <c r="G236" s="218"/>
      <c r="H236" s="218"/>
      <c r="I236" s="218"/>
      <c r="J236" s="136" t="s">
        <v>148</v>
      </c>
      <c r="K236" s="137">
        <v>244.3</v>
      </c>
      <c r="L236" s="219">
        <v>0</v>
      </c>
      <c r="M236" s="218"/>
      <c r="N236" s="220">
        <f>ROUND($L$236*$K$236,2)</f>
        <v>0</v>
      </c>
      <c r="O236" s="218"/>
      <c r="P236" s="218"/>
      <c r="Q236" s="218"/>
      <c r="R236" s="24"/>
      <c r="T236" s="138"/>
      <c r="U236" s="30" t="s">
        <v>38</v>
      </c>
      <c r="V236" s="139">
        <v>0.058</v>
      </c>
      <c r="W236" s="139">
        <f>$V$236*$K$236</f>
        <v>14.169400000000001</v>
      </c>
      <c r="X236" s="139">
        <v>2E-05</v>
      </c>
      <c r="Y236" s="139">
        <f>$X$236*$K$236</f>
        <v>0.004886000000000001</v>
      </c>
      <c r="Z236" s="139">
        <v>0</v>
      </c>
      <c r="AA236" s="140">
        <f>$Z$236*$K$236</f>
        <v>0</v>
      </c>
      <c r="AR236" s="6" t="s">
        <v>149</v>
      </c>
      <c r="AT236" s="6" t="s">
        <v>145</v>
      </c>
      <c r="AU236" s="6" t="s">
        <v>103</v>
      </c>
      <c r="AY236" s="6" t="s">
        <v>144</v>
      </c>
      <c r="BE236" s="88">
        <f>IF($U$236="základní",$N$236,0)</f>
        <v>0</v>
      </c>
      <c r="BF236" s="88">
        <f>IF($U$236="snížená",$N$236,0)</f>
        <v>0</v>
      </c>
      <c r="BG236" s="88">
        <f>IF($U$236="zákl. přenesená",$N$236,0)</f>
        <v>0</v>
      </c>
      <c r="BH236" s="88">
        <f>IF($U$236="sníž. přenesená",$N$236,0)</f>
        <v>0</v>
      </c>
      <c r="BI236" s="88">
        <f>IF($U$236="nulová",$N$236,0)</f>
        <v>0</v>
      </c>
      <c r="BJ236" s="6" t="s">
        <v>17</v>
      </c>
      <c r="BK236" s="88">
        <f>ROUND($L$236*$K$236,2)</f>
        <v>0</v>
      </c>
      <c r="BL236" s="6" t="s">
        <v>149</v>
      </c>
    </row>
    <row r="237" spans="2:51" s="6" customFormat="1" ht="27" customHeight="1">
      <c r="B237" s="146"/>
      <c r="C237" s="147"/>
      <c r="D237" s="147"/>
      <c r="E237" s="147"/>
      <c r="F237" s="226" t="s">
        <v>468</v>
      </c>
      <c r="G237" s="227"/>
      <c r="H237" s="227"/>
      <c r="I237" s="227"/>
      <c r="J237" s="147"/>
      <c r="K237" s="148">
        <v>244.3</v>
      </c>
      <c r="L237" s="147"/>
      <c r="M237" s="147"/>
      <c r="N237" s="147"/>
      <c r="O237" s="147"/>
      <c r="P237" s="147"/>
      <c r="Q237" s="147"/>
      <c r="R237" s="149"/>
      <c r="T237" s="150"/>
      <c r="U237" s="147"/>
      <c r="V237" s="147"/>
      <c r="W237" s="147"/>
      <c r="X237" s="147"/>
      <c r="Y237" s="147"/>
      <c r="Z237" s="147"/>
      <c r="AA237" s="151"/>
      <c r="AT237" s="152" t="s">
        <v>315</v>
      </c>
      <c r="AU237" s="152" t="s">
        <v>103</v>
      </c>
      <c r="AV237" s="152" t="s">
        <v>103</v>
      </c>
      <c r="AW237" s="152" t="s">
        <v>113</v>
      </c>
      <c r="AX237" s="152" t="s">
        <v>17</v>
      </c>
      <c r="AY237" s="152" t="s">
        <v>144</v>
      </c>
    </row>
    <row r="238" spans="2:64" s="6" customFormat="1" ht="27" customHeight="1">
      <c r="B238" s="22"/>
      <c r="C238" s="160" t="s">
        <v>469</v>
      </c>
      <c r="D238" s="160" t="s">
        <v>348</v>
      </c>
      <c r="E238" s="161" t="s">
        <v>470</v>
      </c>
      <c r="F238" s="230" t="s">
        <v>471</v>
      </c>
      <c r="G238" s="231"/>
      <c r="H238" s="231"/>
      <c r="I238" s="231"/>
      <c r="J238" s="162" t="s">
        <v>148</v>
      </c>
      <c r="K238" s="163">
        <v>244.3</v>
      </c>
      <c r="L238" s="232">
        <v>0</v>
      </c>
      <c r="M238" s="231"/>
      <c r="N238" s="233">
        <f>ROUND($L$238*$K$238,2)</f>
        <v>0</v>
      </c>
      <c r="O238" s="218"/>
      <c r="P238" s="218"/>
      <c r="Q238" s="218"/>
      <c r="R238" s="24"/>
      <c r="T238" s="138"/>
      <c r="U238" s="30" t="s">
        <v>38</v>
      </c>
      <c r="V238" s="139">
        <v>0</v>
      </c>
      <c r="W238" s="139">
        <f>$V$238*$K$238</f>
        <v>0</v>
      </c>
      <c r="X238" s="139">
        <v>0.00022</v>
      </c>
      <c r="Y238" s="139">
        <f>$X$238*$K$238</f>
        <v>0.053746</v>
      </c>
      <c r="Z238" s="139">
        <v>0</v>
      </c>
      <c r="AA238" s="140">
        <f>$Z$238*$K$238</f>
        <v>0</v>
      </c>
      <c r="AR238" s="6" t="s">
        <v>238</v>
      </c>
      <c r="AT238" s="6" t="s">
        <v>348</v>
      </c>
      <c r="AU238" s="6" t="s">
        <v>103</v>
      </c>
      <c r="AY238" s="6" t="s">
        <v>144</v>
      </c>
      <c r="BE238" s="88">
        <f>IF($U$238="základní",$N$238,0)</f>
        <v>0</v>
      </c>
      <c r="BF238" s="88">
        <f>IF($U$238="snížená",$N$238,0)</f>
        <v>0</v>
      </c>
      <c r="BG238" s="88">
        <f>IF($U$238="zákl. přenesená",$N$238,0)</f>
        <v>0</v>
      </c>
      <c r="BH238" s="88">
        <f>IF($U$238="sníž. přenesená",$N$238,0)</f>
        <v>0</v>
      </c>
      <c r="BI238" s="88">
        <f>IF($U$238="nulová",$N$238,0)</f>
        <v>0</v>
      </c>
      <c r="BJ238" s="6" t="s">
        <v>17</v>
      </c>
      <c r="BK238" s="88">
        <f>ROUND($L$238*$K$238,2)</f>
        <v>0</v>
      </c>
      <c r="BL238" s="6" t="s">
        <v>149</v>
      </c>
    </row>
    <row r="239" spans="2:64" s="6" customFormat="1" ht="27" customHeight="1">
      <c r="B239" s="22"/>
      <c r="C239" s="134" t="s">
        <v>472</v>
      </c>
      <c r="D239" s="134" t="s">
        <v>145</v>
      </c>
      <c r="E239" s="135" t="s">
        <v>473</v>
      </c>
      <c r="F239" s="217" t="s">
        <v>474</v>
      </c>
      <c r="G239" s="218"/>
      <c r="H239" s="218"/>
      <c r="I239" s="218"/>
      <c r="J239" s="136" t="s">
        <v>328</v>
      </c>
      <c r="K239" s="137">
        <v>234.31</v>
      </c>
      <c r="L239" s="219">
        <v>0</v>
      </c>
      <c r="M239" s="218"/>
      <c r="N239" s="220">
        <f>ROUND($L$239*$K$239,2)</f>
        <v>0</v>
      </c>
      <c r="O239" s="218"/>
      <c r="P239" s="218"/>
      <c r="Q239" s="218"/>
      <c r="R239" s="24"/>
      <c r="T239" s="138"/>
      <c r="U239" s="30" t="s">
        <v>38</v>
      </c>
      <c r="V239" s="139">
        <v>0.255</v>
      </c>
      <c r="W239" s="139">
        <f>$V$239*$K$239</f>
        <v>59.749050000000004</v>
      </c>
      <c r="X239" s="139">
        <v>0</v>
      </c>
      <c r="Y239" s="139">
        <f>$X$239*$K$239</f>
        <v>0</v>
      </c>
      <c r="Z239" s="139">
        <v>0.001</v>
      </c>
      <c r="AA239" s="140">
        <f>$Z$239*$K$239</f>
        <v>0.23431000000000002</v>
      </c>
      <c r="AR239" s="6" t="s">
        <v>149</v>
      </c>
      <c r="AT239" s="6" t="s">
        <v>145</v>
      </c>
      <c r="AU239" s="6" t="s">
        <v>103</v>
      </c>
      <c r="AY239" s="6" t="s">
        <v>144</v>
      </c>
      <c r="BE239" s="88">
        <f>IF($U$239="základní",$N$239,0)</f>
        <v>0</v>
      </c>
      <c r="BF239" s="88">
        <f>IF($U$239="snížená",$N$239,0)</f>
        <v>0</v>
      </c>
      <c r="BG239" s="88">
        <f>IF($U$239="zákl. přenesená",$N$239,0)</f>
        <v>0</v>
      </c>
      <c r="BH239" s="88">
        <f>IF($U$239="sníž. přenesená",$N$239,0)</f>
        <v>0</v>
      </c>
      <c r="BI239" s="88">
        <f>IF($U$239="nulová",$N$239,0)</f>
        <v>0</v>
      </c>
      <c r="BJ239" s="6" t="s">
        <v>17</v>
      </c>
      <c r="BK239" s="88">
        <f>ROUND($L$239*$K$239,2)</f>
        <v>0</v>
      </c>
      <c r="BL239" s="6" t="s">
        <v>149</v>
      </c>
    </row>
    <row r="240" spans="2:51" s="6" customFormat="1" ht="27" customHeight="1">
      <c r="B240" s="146"/>
      <c r="C240" s="147"/>
      <c r="D240" s="147"/>
      <c r="E240" s="147"/>
      <c r="F240" s="226" t="s">
        <v>475</v>
      </c>
      <c r="G240" s="227"/>
      <c r="H240" s="227"/>
      <c r="I240" s="227"/>
      <c r="J240" s="147"/>
      <c r="K240" s="148">
        <v>234.31</v>
      </c>
      <c r="L240" s="147"/>
      <c r="M240" s="147"/>
      <c r="N240" s="147"/>
      <c r="O240" s="147"/>
      <c r="P240" s="147"/>
      <c r="Q240" s="147"/>
      <c r="R240" s="149"/>
      <c r="T240" s="150"/>
      <c r="U240" s="147"/>
      <c r="V240" s="147"/>
      <c r="W240" s="147"/>
      <c r="X240" s="147"/>
      <c r="Y240" s="147"/>
      <c r="Z240" s="147"/>
      <c r="AA240" s="151"/>
      <c r="AT240" s="152" t="s">
        <v>315</v>
      </c>
      <c r="AU240" s="152" t="s">
        <v>103</v>
      </c>
      <c r="AV240" s="152" t="s">
        <v>103</v>
      </c>
      <c r="AW240" s="152" t="s">
        <v>113</v>
      </c>
      <c r="AX240" s="152" t="s">
        <v>17</v>
      </c>
      <c r="AY240" s="152" t="s">
        <v>144</v>
      </c>
    </row>
    <row r="241" spans="2:64" s="6" customFormat="1" ht="15.75" customHeight="1">
      <c r="B241" s="22"/>
      <c r="C241" s="134" t="s">
        <v>476</v>
      </c>
      <c r="D241" s="134" t="s">
        <v>145</v>
      </c>
      <c r="E241" s="135" t="s">
        <v>477</v>
      </c>
      <c r="F241" s="217" t="s">
        <v>478</v>
      </c>
      <c r="G241" s="218"/>
      <c r="H241" s="218"/>
      <c r="I241" s="218"/>
      <c r="J241" s="136" t="s">
        <v>328</v>
      </c>
      <c r="K241" s="137">
        <v>236.48</v>
      </c>
      <c r="L241" s="219">
        <v>0</v>
      </c>
      <c r="M241" s="218"/>
      <c r="N241" s="220">
        <f>ROUND($L$241*$K$241,2)</f>
        <v>0</v>
      </c>
      <c r="O241" s="218"/>
      <c r="P241" s="218"/>
      <c r="Q241" s="218"/>
      <c r="R241" s="24"/>
      <c r="T241" s="138"/>
      <c r="U241" s="30" t="s">
        <v>38</v>
      </c>
      <c r="V241" s="139">
        <v>0.2</v>
      </c>
      <c r="W241" s="139">
        <f>$V$241*$K$241</f>
        <v>47.296</v>
      </c>
      <c r="X241" s="139">
        <v>0.00027</v>
      </c>
      <c r="Y241" s="139">
        <f>$X$241*$K$241</f>
        <v>0.06384959999999999</v>
      </c>
      <c r="Z241" s="139">
        <v>0</v>
      </c>
      <c r="AA241" s="140">
        <f>$Z$241*$K$241</f>
        <v>0</v>
      </c>
      <c r="AR241" s="6" t="s">
        <v>149</v>
      </c>
      <c r="AT241" s="6" t="s">
        <v>145</v>
      </c>
      <c r="AU241" s="6" t="s">
        <v>103</v>
      </c>
      <c r="AY241" s="6" t="s">
        <v>144</v>
      </c>
      <c r="BE241" s="88">
        <f>IF($U$241="základní",$N$241,0)</f>
        <v>0</v>
      </c>
      <c r="BF241" s="88">
        <f>IF($U$241="snížená",$N$241,0)</f>
        <v>0</v>
      </c>
      <c r="BG241" s="88">
        <f>IF($U$241="zákl. přenesená",$N$241,0)</f>
        <v>0</v>
      </c>
      <c r="BH241" s="88">
        <f>IF($U$241="sníž. přenesená",$N$241,0)</f>
        <v>0</v>
      </c>
      <c r="BI241" s="88">
        <f>IF($U$241="nulová",$N$241,0)</f>
        <v>0</v>
      </c>
      <c r="BJ241" s="6" t="s">
        <v>17</v>
      </c>
      <c r="BK241" s="88">
        <f>ROUND($L$241*$K$241,2)</f>
        <v>0</v>
      </c>
      <c r="BL241" s="6" t="s">
        <v>149</v>
      </c>
    </row>
    <row r="242" spans="2:51" s="6" customFormat="1" ht="27" customHeight="1">
      <c r="B242" s="146"/>
      <c r="C242" s="147"/>
      <c r="D242" s="147"/>
      <c r="E242" s="147"/>
      <c r="F242" s="226" t="s">
        <v>479</v>
      </c>
      <c r="G242" s="227"/>
      <c r="H242" s="227"/>
      <c r="I242" s="227"/>
      <c r="J242" s="147"/>
      <c r="K242" s="148">
        <v>236.48</v>
      </c>
      <c r="L242" s="147"/>
      <c r="M242" s="147"/>
      <c r="N242" s="147"/>
      <c r="O242" s="147"/>
      <c r="P242" s="147"/>
      <c r="Q242" s="147"/>
      <c r="R242" s="149"/>
      <c r="T242" s="150"/>
      <c r="U242" s="147"/>
      <c r="V242" s="147"/>
      <c r="W242" s="147"/>
      <c r="X242" s="147"/>
      <c r="Y242" s="147"/>
      <c r="Z242" s="147"/>
      <c r="AA242" s="151"/>
      <c r="AT242" s="152" t="s">
        <v>315</v>
      </c>
      <c r="AU242" s="152" t="s">
        <v>103</v>
      </c>
      <c r="AV242" s="152" t="s">
        <v>103</v>
      </c>
      <c r="AW242" s="152" t="s">
        <v>113</v>
      </c>
      <c r="AX242" s="152" t="s">
        <v>17</v>
      </c>
      <c r="AY242" s="152" t="s">
        <v>144</v>
      </c>
    </row>
    <row r="243" spans="2:64" s="6" customFormat="1" ht="15.75" customHeight="1">
      <c r="B243" s="22"/>
      <c r="C243" s="160" t="s">
        <v>480</v>
      </c>
      <c r="D243" s="160" t="s">
        <v>348</v>
      </c>
      <c r="E243" s="161" t="s">
        <v>481</v>
      </c>
      <c r="F243" s="230" t="s">
        <v>482</v>
      </c>
      <c r="G243" s="231"/>
      <c r="H243" s="231"/>
      <c r="I243" s="231"/>
      <c r="J243" s="162" t="s">
        <v>328</v>
      </c>
      <c r="K243" s="163">
        <v>241.21</v>
      </c>
      <c r="L243" s="232">
        <v>0</v>
      </c>
      <c r="M243" s="231"/>
      <c r="N243" s="233">
        <f>ROUND($L$243*$K$243,2)</f>
        <v>0</v>
      </c>
      <c r="O243" s="218"/>
      <c r="P243" s="218"/>
      <c r="Q243" s="218"/>
      <c r="R243" s="24"/>
      <c r="T243" s="138"/>
      <c r="U243" s="30" t="s">
        <v>38</v>
      </c>
      <c r="V243" s="139">
        <v>0</v>
      </c>
      <c r="W243" s="139">
        <f>$V$243*$K$243</f>
        <v>0</v>
      </c>
      <c r="X243" s="139">
        <v>0.0024</v>
      </c>
      <c r="Y243" s="139">
        <f>$X$243*$K$243</f>
        <v>0.578904</v>
      </c>
      <c r="Z243" s="139">
        <v>0</v>
      </c>
      <c r="AA243" s="140">
        <f>$Z$243*$K$243</f>
        <v>0</v>
      </c>
      <c r="AR243" s="6" t="s">
        <v>238</v>
      </c>
      <c r="AT243" s="6" t="s">
        <v>348</v>
      </c>
      <c r="AU243" s="6" t="s">
        <v>103</v>
      </c>
      <c r="AY243" s="6" t="s">
        <v>144</v>
      </c>
      <c r="BE243" s="88">
        <f>IF($U$243="základní",$N$243,0)</f>
        <v>0</v>
      </c>
      <c r="BF243" s="88">
        <f>IF($U$243="snížená",$N$243,0)</f>
        <v>0</v>
      </c>
      <c r="BG243" s="88">
        <f>IF($U$243="zákl. přenesená",$N$243,0)</f>
        <v>0</v>
      </c>
      <c r="BH243" s="88">
        <f>IF($U$243="sníž. přenesená",$N$243,0)</f>
        <v>0</v>
      </c>
      <c r="BI243" s="88">
        <f>IF($U$243="nulová",$N$243,0)</f>
        <v>0</v>
      </c>
      <c r="BJ243" s="6" t="s">
        <v>17</v>
      </c>
      <c r="BK243" s="88">
        <f>ROUND($L$243*$K$243,2)</f>
        <v>0</v>
      </c>
      <c r="BL243" s="6" t="s">
        <v>149</v>
      </c>
    </row>
    <row r="244" spans="2:64" s="6" customFormat="1" ht="15.75" customHeight="1">
      <c r="B244" s="22"/>
      <c r="C244" s="134" t="s">
        <v>483</v>
      </c>
      <c r="D244" s="134" t="s">
        <v>145</v>
      </c>
      <c r="E244" s="135" t="s">
        <v>484</v>
      </c>
      <c r="F244" s="217" t="s">
        <v>485</v>
      </c>
      <c r="G244" s="218"/>
      <c r="H244" s="218"/>
      <c r="I244" s="218"/>
      <c r="J244" s="136" t="s">
        <v>328</v>
      </c>
      <c r="K244" s="137">
        <v>236.48</v>
      </c>
      <c r="L244" s="219">
        <v>0</v>
      </c>
      <c r="M244" s="218"/>
      <c r="N244" s="220">
        <f>ROUND($L$244*$K$244,2)</f>
        <v>0</v>
      </c>
      <c r="O244" s="218"/>
      <c r="P244" s="218"/>
      <c r="Q244" s="218"/>
      <c r="R244" s="24"/>
      <c r="T244" s="138"/>
      <c r="U244" s="30" t="s">
        <v>38</v>
      </c>
      <c r="V244" s="139">
        <v>0.06</v>
      </c>
      <c r="W244" s="139">
        <f>$V$244*$K$244</f>
        <v>14.188799999999999</v>
      </c>
      <c r="X244" s="139">
        <v>0</v>
      </c>
      <c r="Y244" s="139">
        <f>$X$244*$K$244</f>
        <v>0</v>
      </c>
      <c r="Z244" s="139">
        <v>0</v>
      </c>
      <c r="AA244" s="140">
        <f>$Z$244*$K$244</f>
        <v>0</v>
      </c>
      <c r="AR244" s="6" t="s">
        <v>149</v>
      </c>
      <c r="AT244" s="6" t="s">
        <v>145</v>
      </c>
      <c r="AU244" s="6" t="s">
        <v>103</v>
      </c>
      <c r="AY244" s="6" t="s">
        <v>144</v>
      </c>
      <c r="BE244" s="88">
        <f>IF($U$244="základní",$N$244,0)</f>
        <v>0</v>
      </c>
      <c r="BF244" s="88">
        <f>IF($U$244="snížená",$N$244,0)</f>
        <v>0</v>
      </c>
      <c r="BG244" s="88">
        <f>IF($U$244="zákl. přenesená",$N$244,0)</f>
        <v>0</v>
      </c>
      <c r="BH244" s="88">
        <f>IF($U$244="sníž. přenesená",$N$244,0)</f>
        <v>0</v>
      </c>
      <c r="BI244" s="88">
        <f>IF($U$244="nulová",$N$244,0)</f>
        <v>0</v>
      </c>
      <c r="BJ244" s="6" t="s">
        <v>17</v>
      </c>
      <c r="BK244" s="88">
        <f>ROUND($L$244*$K$244,2)</f>
        <v>0</v>
      </c>
      <c r="BL244" s="6" t="s">
        <v>149</v>
      </c>
    </row>
    <row r="245" spans="2:64" s="6" customFormat="1" ht="15.75" customHeight="1">
      <c r="B245" s="22"/>
      <c r="C245" s="160" t="s">
        <v>486</v>
      </c>
      <c r="D245" s="160" t="s">
        <v>348</v>
      </c>
      <c r="E245" s="161" t="s">
        <v>487</v>
      </c>
      <c r="F245" s="230" t="s">
        <v>488</v>
      </c>
      <c r="G245" s="231"/>
      <c r="H245" s="231"/>
      <c r="I245" s="231"/>
      <c r="J245" s="162" t="s">
        <v>489</v>
      </c>
      <c r="K245" s="163">
        <v>23.648</v>
      </c>
      <c r="L245" s="232">
        <v>0</v>
      </c>
      <c r="M245" s="231"/>
      <c r="N245" s="233">
        <f>ROUND($L$245*$K$245,2)</f>
        <v>0</v>
      </c>
      <c r="O245" s="218"/>
      <c r="P245" s="218"/>
      <c r="Q245" s="218"/>
      <c r="R245" s="24"/>
      <c r="T245" s="138"/>
      <c r="U245" s="30" t="s">
        <v>38</v>
      </c>
      <c r="V245" s="139">
        <v>0</v>
      </c>
      <c r="W245" s="139">
        <f>$V$245*$K$245</f>
        <v>0</v>
      </c>
      <c r="X245" s="139">
        <v>0.001</v>
      </c>
      <c r="Y245" s="139">
        <f>$X$245*$K$245</f>
        <v>0.023648</v>
      </c>
      <c r="Z245" s="139">
        <v>0</v>
      </c>
      <c r="AA245" s="140">
        <f>$Z$245*$K$245</f>
        <v>0</v>
      </c>
      <c r="AR245" s="6" t="s">
        <v>238</v>
      </c>
      <c r="AT245" s="6" t="s">
        <v>348</v>
      </c>
      <c r="AU245" s="6" t="s">
        <v>103</v>
      </c>
      <c r="AY245" s="6" t="s">
        <v>144</v>
      </c>
      <c r="BE245" s="88">
        <f>IF($U$245="základní",$N$245,0)</f>
        <v>0</v>
      </c>
      <c r="BF245" s="88">
        <f>IF($U$245="snížená",$N$245,0)</f>
        <v>0</v>
      </c>
      <c r="BG245" s="88">
        <f>IF($U$245="zákl. přenesená",$N$245,0)</f>
        <v>0</v>
      </c>
      <c r="BH245" s="88">
        <f>IF($U$245="sníž. přenesená",$N$245,0)</f>
        <v>0</v>
      </c>
      <c r="BI245" s="88">
        <f>IF($U$245="nulová",$N$245,0)</f>
        <v>0</v>
      </c>
      <c r="BJ245" s="6" t="s">
        <v>17</v>
      </c>
      <c r="BK245" s="88">
        <f>ROUND($L$245*$K$245,2)</f>
        <v>0</v>
      </c>
      <c r="BL245" s="6" t="s">
        <v>149</v>
      </c>
    </row>
    <row r="246" spans="2:64" s="6" customFormat="1" ht="27" customHeight="1">
      <c r="B246" s="22"/>
      <c r="C246" s="134" t="s">
        <v>490</v>
      </c>
      <c r="D246" s="134" t="s">
        <v>145</v>
      </c>
      <c r="E246" s="135" t="s">
        <v>491</v>
      </c>
      <c r="F246" s="217" t="s">
        <v>492</v>
      </c>
      <c r="G246" s="218"/>
      <c r="H246" s="218"/>
      <c r="I246" s="218"/>
      <c r="J246" s="136" t="s">
        <v>328</v>
      </c>
      <c r="K246" s="137">
        <v>236.48</v>
      </c>
      <c r="L246" s="219">
        <v>0</v>
      </c>
      <c r="M246" s="218"/>
      <c r="N246" s="220">
        <f>ROUND($L$246*$K$246,2)</f>
        <v>0</v>
      </c>
      <c r="O246" s="218"/>
      <c r="P246" s="218"/>
      <c r="Q246" s="218"/>
      <c r="R246" s="24"/>
      <c r="T246" s="138"/>
      <c r="U246" s="30" t="s">
        <v>38</v>
      </c>
      <c r="V246" s="139">
        <v>0.25</v>
      </c>
      <c r="W246" s="139">
        <f>$V$246*$K$246</f>
        <v>59.12</v>
      </c>
      <c r="X246" s="139">
        <v>0.00578</v>
      </c>
      <c r="Y246" s="139">
        <f>$X$246*$K$246</f>
        <v>1.3668544</v>
      </c>
      <c r="Z246" s="139">
        <v>0</v>
      </c>
      <c r="AA246" s="140">
        <f>$Z$246*$K$246</f>
        <v>0</v>
      </c>
      <c r="AR246" s="6" t="s">
        <v>149</v>
      </c>
      <c r="AT246" s="6" t="s">
        <v>145</v>
      </c>
      <c r="AU246" s="6" t="s">
        <v>103</v>
      </c>
      <c r="AY246" s="6" t="s">
        <v>144</v>
      </c>
      <c r="BE246" s="88">
        <f>IF($U$246="základní",$N$246,0)</f>
        <v>0</v>
      </c>
      <c r="BF246" s="88">
        <f>IF($U$246="snížená",$N$246,0)</f>
        <v>0</v>
      </c>
      <c r="BG246" s="88">
        <f>IF($U$246="zákl. přenesená",$N$246,0)</f>
        <v>0</v>
      </c>
      <c r="BH246" s="88">
        <f>IF($U$246="sníž. přenesená",$N$246,0)</f>
        <v>0</v>
      </c>
      <c r="BI246" s="88">
        <f>IF($U$246="nulová",$N$246,0)</f>
        <v>0</v>
      </c>
      <c r="BJ246" s="6" t="s">
        <v>17</v>
      </c>
      <c r="BK246" s="88">
        <f>ROUND($L$246*$K$246,2)</f>
        <v>0</v>
      </c>
      <c r="BL246" s="6" t="s">
        <v>149</v>
      </c>
    </row>
    <row r="247" spans="2:64" s="6" customFormat="1" ht="27" customHeight="1">
      <c r="B247" s="22"/>
      <c r="C247" s="134" t="s">
        <v>493</v>
      </c>
      <c r="D247" s="134" t="s">
        <v>145</v>
      </c>
      <c r="E247" s="135" t="s">
        <v>494</v>
      </c>
      <c r="F247" s="217" t="s">
        <v>495</v>
      </c>
      <c r="G247" s="218"/>
      <c r="H247" s="218"/>
      <c r="I247" s="218"/>
      <c r="J247" s="136" t="s">
        <v>185</v>
      </c>
      <c r="K247" s="137">
        <v>2.092</v>
      </c>
      <c r="L247" s="219">
        <v>0</v>
      </c>
      <c r="M247" s="218"/>
      <c r="N247" s="220">
        <f>ROUND($L$247*$K$247,2)</f>
        <v>0</v>
      </c>
      <c r="O247" s="218"/>
      <c r="P247" s="218"/>
      <c r="Q247" s="218"/>
      <c r="R247" s="24"/>
      <c r="T247" s="138"/>
      <c r="U247" s="30" t="s">
        <v>38</v>
      </c>
      <c r="V247" s="139">
        <v>1.114</v>
      </c>
      <c r="W247" s="139">
        <f>$V$247*$K$247</f>
        <v>2.3304880000000003</v>
      </c>
      <c r="X247" s="139">
        <v>0</v>
      </c>
      <c r="Y247" s="139">
        <f>$X$247*$K$247</f>
        <v>0</v>
      </c>
      <c r="Z247" s="139">
        <v>0</v>
      </c>
      <c r="AA247" s="140">
        <f>$Z$247*$K$247</f>
        <v>0</v>
      </c>
      <c r="AR247" s="6" t="s">
        <v>149</v>
      </c>
      <c r="AT247" s="6" t="s">
        <v>145</v>
      </c>
      <c r="AU247" s="6" t="s">
        <v>103</v>
      </c>
      <c r="AY247" s="6" t="s">
        <v>144</v>
      </c>
      <c r="BE247" s="88">
        <f>IF($U$247="základní",$N$247,0)</f>
        <v>0</v>
      </c>
      <c r="BF247" s="88">
        <f>IF($U$247="snížená",$N$247,0)</f>
        <v>0</v>
      </c>
      <c r="BG247" s="88">
        <f>IF($U$247="zákl. přenesená",$N$247,0)</f>
        <v>0</v>
      </c>
      <c r="BH247" s="88">
        <f>IF($U$247="sníž. přenesená",$N$247,0)</f>
        <v>0</v>
      </c>
      <c r="BI247" s="88">
        <f>IF($U$247="nulová",$N$247,0)</f>
        <v>0</v>
      </c>
      <c r="BJ247" s="6" t="s">
        <v>17</v>
      </c>
      <c r="BK247" s="88">
        <f>ROUND($L$247*$K$247,2)</f>
        <v>0</v>
      </c>
      <c r="BL247" s="6" t="s">
        <v>149</v>
      </c>
    </row>
    <row r="248" spans="2:63" s="123" customFormat="1" ht="30.75" customHeight="1">
      <c r="B248" s="124"/>
      <c r="C248" s="125"/>
      <c r="D248" s="133" t="s">
        <v>308</v>
      </c>
      <c r="E248" s="125"/>
      <c r="F248" s="125"/>
      <c r="G248" s="125"/>
      <c r="H248" s="125"/>
      <c r="I248" s="125"/>
      <c r="J248" s="125"/>
      <c r="K248" s="125"/>
      <c r="L248" s="125"/>
      <c r="M248" s="125"/>
      <c r="N248" s="225">
        <f>$BK$248</f>
        <v>0</v>
      </c>
      <c r="O248" s="224"/>
      <c r="P248" s="224"/>
      <c r="Q248" s="224"/>
      <c r="R248" s="127"/>
      <c r="T248" s="128"/>
      <c r="U248" s="125"/>
      <c r="V248" s="125"/>
      <c r="W248" s="129">
        <f>SUM($W$249:$W$268)</f>
        <v>117.24225000000001</v>
      </c>
      <c r="X248" s="125"/>
      <c r="Y248" s="129">
        <f>SUM($Y$249:$Y$268)</f>
        <v>1.7597583</v>
      </c>
      <c r="Z248" s="125"/>
      <c r="AA248" s="130">
        <f>SUM($AA$249:$AA$268)</f>
        <v>4.679022</v>
      </c>
      <c r="AR248" s="131" t="s">
        <v>103</v>
      </c>
      <c r="AT248" s="131" t="s">
        <v>72</v>
      </c>
      <c r="AU248" s="131" t="s">
        <v>17</v>
      </c>
      <c r="AY248" s="131" t="s">
        <v>144</v>
      </c>
      <c r="BK248" s="132">
        <f>SUM($BK$249:$BK$268)</f>
        <v>0</v>
      </c>
    </row>
    <row r="249" spans="2:64" s="6" customFormat="1" ht="27" customHeight="1">
      <c r="B249" s="22"/>
      <c r="C249" s="134" t="s">
        <v>496</v>
      </c>
      <c r="D249" s="134" t="s">
        <v>145</v>
      </c>
      <c r="E249" s="135" t="s">
        <v>497</v>
      </c>
      <c r="F249" s="217" t="s">
        <v>498</v>
      </c>
      <c r="G249" s="218"/>
      <c r="H249" s="218"/>
      <c r="I249" s="218"/>
      <c r="J249" s="136" t="s">
        <v>328</v>
      </c>
      <c r="K249" s="137">
        <v>7.74</v>
      </c>
      <c r="L249" s="219">
        <v>0</v>
      </c>
      <c r="M249" s="218"/>
      <c r="N249" s="220">
        <f>ROUND($L$249*$K$249,2)</f>
        <v>0</v>
      </c>
      <c r="O249" s="218"/>
      <c r="P249" s="218"/>
      <c r="Q249" s="218"/>
      <c r="R249" s="24"/>
      <c r="T249" s="138"/>
      <c r="U249" s="30" t="s">
        <v>38</v>
      </c>
      <c r="V249" s="139">
        <v>0.29</v>
      </c>
      <c r="W249" s="139">
        <f>$V$249*$K$249</f>
        <v>2.2445999999999997</v>
      </c>
      <c r="X249" s="139">
        <v>0</v>
      </c>
      <c r="Y249" s="139">
        <f>$X$249*$K$249</f>
        <v>0</v>
      </c>
      <c r="Z249" s="139">
        <v>0.0713</v>
      </c>
      <c r="AA249" s="140">
        <f>$Z$249*$K$249</f>
        <v>0.5518620000000001</v>
      </c>
      <c r="AR249" s="6" t="s">
        <v>149</v>
      </c>
      <c r="AT249" s="6" t="s">
        <v>145</v>
      </c>
      <c r="AU249" s="6" t="s">
        <v>103</v>
      </c>
      <c r="AY249" s="6" t="s">
        <v>144</v>
      </c>
      <c r="BE249" s="88">
        <f>IF($U$249="základní",$N$249,0)</f>
        <v>0</v>
      </c>
      <c r="BF249" s="88">
        <f>IF($U$249="snížená",$N$249,0)</f>
        <v>0</v>
      </c>
      <c r="BG249" s="88">
        <f>IF($U$249="zákl. přenesená",$N$249,0)</f>
        <v>0</v>
      </c>
      <c r="BH249" s="88">
        <f>IF($U$249="sníž. přenesená",$N$249,0)</f>
        <v>0</v>
      </c>
      <c r="BI249" s="88">
        <f>IF($U$249="nulová",$N$249,0)</f>
        <v>0</v>
      </c>
      <c r="BJ249" s="6" t="s">
        <v>17</v>
      </c>
      <c r="BK249" s="88">
        <f>ROUND($L$249*$K$249,2)</f>
        <v>0</v>
      </c>
      <c r="BL249" s="6" t="s">
        <v>149</v>
      </c>
    </row>
    <row r="250" spans="2:51" s="6" customFormat="1" ht="15.75" customHeight="1">
      <c r="B250" s="146"/>
      <c r="C250" s="147"/>
      <c r="D250" s="147"/>
      <c r="E250" s="147"/>
      <c r="F250" s="226" t="s">
        <v>499</v>
      </c>
      <c r="G250" s="227"/>
      <c r="H250" s="227"/>
      <c r="I250" s="227"/>
      <c r="J250" s="147"/>
      <c r="K250" s="148">
        <v>7.74</v>
      </c>
      <c r="L250" s="147"/>
      <c r="M250" s="147"/>
      <c r="N250" s="147"/>
      <c r="O250" s="147"/>
      <c r="P250" s="147"/>
      <c r="Q250" s="147"/>
      <c r="R250" s="149"/>
      <c r="T250" s="150"/>
      <c r="U250" s="147"/>
      <c r="V250" s="147"/>
      <c r="W250" s="147"/>
      <c r="X250" s="147"/>
      <c r="Y250" s="147"/>
      <c r="Z250" s="147"/>
      <c r="AA250" s="151"/>
      <c r="AT250" s="152" t="s">
        <v>315</v>
      </c>
      <c r="AU250" s="152" t="s">
        <v>103</v>
      </c>
      <c r="AV250" s="152" t="s">
        <v>103</v>
      </c>
      <c r="AW250" s="152" t="s">
        <v>113</v>
      </c>
      <c r="AX250" s="152" t="s">
        <v>17</v>
      </c>
      <c r="AY250" s="152" t="s">
        <v>144</v>
      </c>
    </row>
    <row r="251" spans="2:64" s="6" customFormat="1" ht="27" customHeight="1">
      <c r="B251" s="22"/>
      <c r="C251" s="134" t="s">
        <v>500</v>
      </c>
      <c r="D251" s="134" t="s">
        <v>145</v>
      </c>
      <c r="E251" s="135" t="s">
        <v>501</v>
      </c>
      <c r="F251" s="217" t="s">
        <v>502</v>
      </c>
      <c r="G251" s="218"/>
      <c r="H251" s="218"/>
      <c r="I251" s="218"/>
      <c r="J251" s="136" t="s">
        <v>328</v>
      </c>
      <c r="K251" s="137">
        <v>50.64</v>
      </c>
      <c r="L251" s="219">
        <v>0</v>
      </c>
      <c r="M251" s="218"/>
      <c r="N251" s="220">
        <f>ROUND($L$251*$K$251,2)</f>
        <v>0</v>
      </c>
      <c r="O251" s="218"/>
      <c r="P251" s="218"/>
      <c r="Q251" s="218"/>
      <c r="R251" s="24"/>
      <c r="T251" s="138"/>
      <c r="U251" s="30" t="s">
        <v>38</v>
      </c>
      <c r="V251" s="139">
        <v>0.295</v>
      </c>
      <c r="W251" s="139">
        <f>$V$251*$K$251</f>
        <v>14.938799999999999</v>
      </c>
      <c r="X251" s="139">
        <v>0</v>
      </c>
      <c r="Y251" s="139">
        <f>$X$251*$K$251</f>
        <v>0</v>
      </c>
      <c r="Z251" s="139">
        <v>0.0815</v>
      </c>
      <c r="AA251" s="140">
        <f>$Z$251*$K$251</f>
        <v>4.12716</v>
      </c>
      <c r="AR251" s="6" t="s">
        <v>149</v>
      </c>
      <c r="AT251" s="6" t="s">
        <v>145</v>
      </c>
      <c r="AU251" s="6" t="s">
        <v>103</v>
      </c>
      <c r="AY251" s="6" t="s">
        <v>144</v>
      </c>
      <c r="BE251" s="88">
        <f>IF($U$251="základní",$N$251,0)</f>
        <v>0</v>
      </c>
      <c r="BF251" s="88">
        <f>IF($U$251="snížená",$N$251,0)</f>
        <v>0</v>
      </c>
      <c r="BG251" s="88">
        <f>IF($U$251="zákl. přenesená",$N$251,0)</f>
        <v>0</v>
      </c>
      <c r="BH251" s="88">
        <f>IF($U$251="sníž. přenesená",$N$251,0)</f>
        <v>0</v>
      </c>
      <c r="BI251" s="88">
        <f>IF($U$251="nulová",$N$251,0)</f>
        <v>0</v>
      </c>
      <c r="BJ251" s="6" t="s">
        <v>17</v>
      </c>
      <c r="BK251" s="88">
        <f>ROUND($L$251*$K$251,2)</f>
        <v>0</v>
      </c>
      <c r="BL251" s="6" t="s">
        <v>149</v>
      </c>
    </row>
    <row r="252" spans="2:51" s="6" customFormat="1" ht="27" customHeight="1">
      <c r="B252" s="146"/>
      <c r="C252" s="147"/>
      <c r="D252" s="147"/>
      <c r="E252" s="147"/>
      <c r="F252" s="226" t="s">
        <v>503</v>
      </c>
      <c r="G252" s="227"/>
      <c r="H252" s="227"/>
      <c r="I252" s="227"/>
      <c r="J252" s="147"/>
      <c r="K252" s="148">
        <v>39.195</v>
      </c>
      <c r="L252" s="147"/>
      <c r="M252" s="147"/>
      <c r="N252" s="147"/>
      <c r="O252" s="147"/>
      <c r="P252" s="147"/>
      <c r="Q252" s="147"/>
      <c r="R252" s="149"/>
      <c r="T252" s="150"/>
      <c r="U252" s="147"/>
      <c r="V252" s="147"/>
      <c r="W252" s="147"/>
      <c r="X252" s="147"/>
      <c r="Y252" s="147"/>
      <c r="Z252" s="147"/>
      <c r="AA252" s="151"/>
      <c r="AT252" s="152" t="s">
        <v>315</v>
      </c>
      <c r="AU252" s="152" t="s">
        <v>103</v>
      </c>
      <c r="AV252" s="152" t="s">
        <v>103</v>
      </c>
      <c r="AW252" s="152" t="s">
        <v>113</v>
      </c>
      <c r="AX252" s="152" t="s">
        <v>73</v>
      </c>
      <c r="AY252" s="152" t="s">
        <v>144</v>
      </c>
    </row>
    <row r="253" spans="2:51" s="6" customFormat="1" ht="15.75" customHeight="1">
      <c r="B253" s="146"/>
      <c r="C253" s="147"/>
      <c r="D253" s="147"/>
      <c r="E253" s="147"/>
      <c r="F253" s="226" t="s">
        <v>504</v>
      </c>
      <c r="G253" s="227"/>
      <c r="H253" s="227"/>
      <c r="I253" s="227"/>
      <c r="J253" s="147"/>
      <c r="K253" s="148">
        <v>11.445</v>
      </c>
      <c r="L253" s="147"/>
      <c r="M253" s="147"/>
      <c r="N253" s="147"/>
      <c r="O253" s="147"/>
      <c r="P253" s="147"/>
      <c r="Q253" s="147"/>
      <c r="R253" s="149"/>
      <c r="T253" s="150"/>
      <c r="U253" s="147"/>
      <c r="V253" s="147"/>
      <c r="W253" s="147"/>
      <c r="X253" s="147"/>
      <c r="Y253" s="147"/>
      <c r="Z253" s="147"/>
      <c r="AA253" s="151"/>
      <c r="AT253" s="152" t="s">
        <v>315</v>
      </c>
      <c r="AU253" s="152" t="s">
        <v>103</v>
      </c>
      <c r="AV253" s="152" t="s">
        <v>103</v>
      </c>
      <c r="AW253" s="152" t="s">
        <v>113</v>
      </c>
      <c r="AX253" s="152" t="s">
        <v>73</v>
      </c>
      <c r="AY253" s="152" t="s">
        <v>144</v>
      </c>
    </row>
    <row r="254" spans="2:51" s="6" customFormat="1" ht="15.75" customHeight="1">
      <c r="B254" s="153"/>
      <c r="C254" s="154"/>
      <c r="D254" s="154"/>
      <c r="E254" s="154"/>
      <c r="F254" s="228" t="s">
        <v>345</v>
      </c>
      <c r="G254" s="229"/>
      <c r="H254" s="229"/>
      <c r="I254" s="229"/>
      <c r="J254" s="154"/>
      <c r="K254" s="155">
        <v>50.64</v>
      </c>
      <c r="L254" s="154"/>
      <c r="M254" s="154"/>
      <c r="N254" s="154"/>
      <c r="O254" s="154"/>
      <c r="P254" s="154"/>
      <c r="Q254" s="154"/>
      <c r="R254" s="156"/>
      <c r="T254" s="157"/>
      <c r="U254" s="154"/>
      <c r="V254" s="154"/>
      <c r="W254" s="154"/>
      <c r="X254" s="154"/>
      <c r="Y254" s="154"/>
      <c r="Z254" s="154"/>
      <c r="AA254" s="158"/>
      <c r="AT254" s="159" t="s">
        <v>315</v>
      </c>
      <c r="AU254" s="159" t="s">
        <v>103</v>
      </c>
      <c r="AV254" s="159" t="s">
        <v>156</v>
      </c>
      <c r="AW254" s="159" t="s">
        <v>113</v>
      </c>
      <c r="AX254" s="159" t="s">
        <v>17</v>
      </c>
      <c r="AY254" s="159" t="s">
        <v>144</v>
      </c>
    </row>
    <row r="255" spans="2:64" s="6" customFormat="1" ht="27" customHeight="1">
      <c r="B255" s="22"/>
      <c r="C255" s="134" t="s">
        <v>505</v>
      </c>
      <c r="D255" s="134" t="s">
        <v>145</v>
      </c>
      <c r="E255" s="135" t="s">
        <v>506</v>
      </c>
      <c r="F255" s="217" t="s">
        <v>507</v>
      </c>
      <c r="G255" s="218"/>
      <c r="H255" s="218"/>
      <c r="I255" s="218"/>
      <c r="J255" s="136" t="s">
        <v>328</v>
      </c>
      <c r="K255" s="137">
        <v>106.335</v>
      </c>
      <c r="L255" s="219">
        <v>0</v>
      </c>
      <c r="M255" s="218"/>
      <c r="N255" s="220">
        <f>ROUND($L$255*$K$255,2)</f>
        <v>0</v>
      </c>
      <c r="O255" s="218"/>
      <c r="P255" s="218"/>
      <c r="Q255" s="218"/>
      <c r="R255" s="24"/>
      <c r="T255" s="138"/>
      <c r="U255" s="30" t="s">
        <v>38</v>
      </c>
      <c r="V255" s="139">
        <v>0.686</v>
      </c>
      <c r="W255" s="139">
        <f>$V$255*$K$255</f>
        <v>72.94581</v>
      </c>
      <c r="X255" s="139">
        <v>0.003</v>
      </c>
      <c r="Y255" s="139">
        <f>$X$255*$K$255</f>
        <v>0.319005</v>
      </c>
      <c r="Z255" s="139">
        <v>0</v>
      </c>
      <c r="AA255" s="140">
        <f>$Z$255*$K$255</f>
        <v>0</v>
      </c>
      <c r="AR255" s="6" t="s">
        <v>149</v>
      </c>
      <c r="AT255" s="6" t="s">
        <v>145</v>
      </c>
      <c r="AU255" s="6" t="s">
        <v>103</v>
      </c>
      <c r="AY255" s="6" t="s">
        <v>144</v>
      </c>
      <c r="BE255" s="88">
        <f>IF($U$255="základní",$N$255,0)</f>
        <v>0</v>
      </c>
      <c r="BF255" s="88">
        <f>IF($U$255="snížená",$N$255,0)</f>
        <v>0</v>
      </c>
      <c r="BG255" s="88">
        <f>IF($U$255="zákl. přenesená",$N$255,0)</f>
        <v>0</v>
      </c>
      <c r="BH255" s="88">
        <f>IF($U$255="sníž. přenesená",$N$255,0)</f>
        <v>0</v>
      </c>
      <c r="BI255" s="88">
        <f>IF($U$255="nulová",$N$255,0)</f>
        <v>0</v>
      </c>
      <c r="BJ255" s="6" t="s">
        <v>17</v>
      </c>
      <c r="BK255" s="88">
        <f>ROUND($L$255*$K$255,2)</f>
        <v>0</v>
      </c>
      <c r="BL255" s="6" t="s">
        <v>149</v>
      </c>
    </row>
    <row r="256" spans="2:51" s="6" customFormat="1" ht="27" customHeight="1">
      <c r="B256" s="146"/>
      <c r="C256" s="147"/>
      <c r="D256" s="147"/>
      <c r="E256" s="147"/>
      <c r="F256" s="226" t="s">
        <v>508</v>
      </c>
      <c r="G256" s="227"/>
      <c r="H256" s="227"/>
      <c r="I256" s="227"/>
      <c r="J256" s="147"/>
      <c r="K256" s="148">
        <v>64.17</v>
      </c>
      <c r="L256" s="147"/>
      <c r="M256" s="147"/>
      <c r="N256" s="147"/>
      <c r="O256" s="147"/>
      <c r="P256" s="147"/>
      <c r="Q256" s="147"/>
      <c r="R256" s="149"/>
      <c r="T256" s="150"/>
      <c r="U256" s="147"/>
      <c r="V256" s="147"/>
      <c r="W256" s="147"/>
      <c r="X256" s="147"/>
      <c r="Y256" s="147"/>
      <c r="Z256" s="147"/>
      <c r="AA256" s="151"/>
      <c r="AT256" s="152" t="s">
        <v>315</v>
      </c>
      <c r="AU256" s="152" t="s">
        <v>103</v>
      </c>
      <c r="AV256" s="152" t="s">
        <v>103</v>
      </c>
      <c r="AW256" s="152" t="s">
        <v>113</v>
      </c>
      <c r="AX256" s="152" t="s">
        <v>73</v>
      </c>
      <c r="AY256" s="152" t="s">
        <v>144</v>
      </c>
    </row>
    <row r="257" spans="2:51" s="6" customFormat="1" ht="15.75" customHeight="1">
      <c r="B257" s="146"/>
      <c r="C257" s="147"/>
      <c r="D257" s="147"/>
      <c r="E257" s="147"/>
      <c r="F257" s="226" t="s">
        <v>509</v>
      </c>
      <c r="G257" s="227"/>
      <c r="H257" s="227"/>
      <c r="I257" s="227"/>
      <c r="J257" s="147"/>
      <c r="K257" s="148">
        <v>42.165</v>
      </c>
      <c r="L257" s="147"/>
      <c r="M257" s="147"/>
      <c r="N257" s="147"/>
      <c r="O257" s="147"/>
      <c r="P257" s="147"/>
      <c r="Q257" s="147"/>
      <c r="R257" s="149"/>
      <c r="T257" s="150"/>
      <c r="U257" s="147"/>
      <c r="V257" s="147"/>
      <c r="W257" s="147"/>
      <c r="X257" s="147"/>
      <c r="Y257" s="147"/>
      <c r="Z257" s="147"/>
      <c r="AA257" s="151"/>
      <c r="AT257" s="152" t="s">
        <v>315</v>
      </c>
      <c r="AU257" s="152" t="s">
        <v>103</v>
      </c>
      <c r="AV257" s="152" t="s">
        <v>103</v>
      </c>
      <c r="AW257" s="152" t="s">
        <v>113</v>
      </c>
      <c r="AX257" s="152" t="s">
        <v>73</v>
      </c>
      <c r="AY257" s="152" t="s">
        <v>144</v>
      </c>
    </row>
    <row r="258" spans="2:51" s="6" customFormat="1" ht="15.75" customHeight="1">
      <c r="B258" s="153"/>
      <c r="C258" s="154"/>
      <c r="D258" s="154"/>
      <c r="E258" s="154"/>
      <c r="F258" s="228" t="s">
        <v>345</v>
      </c>
      <c r="G258" s="229"/>
      <c r="H258" s="229"/>
      <c r="I258" s="229"/>
      <c r="J258" s="154"/>
      <c r="K258" s="155">
        <v>106.335</v>
      </c>
      <c r="L258" s="154"/>
      <c r="M258" s="154"/>
      <c r="N258" s="154"/>
      <c r="O258" s="154"/>
      <c r="P258" s="154"/>
      <c r="Q258" s="154"/>
      <c r="R258" s="156"/>
      <c r="T258" s="157"/>
      <c r="U258" s="154"/>
      <c r="V258" s="154"/>
      <c r="W258" s="154"/>
      <c r="X258" s="154"/>
      <c r="Y258" s="154"/>
      <c r="Z258" s="154"/>
      <c r="AA258" s="158"/>
      <c r="AT258" s="159" t="s">
        <v>315</v>
      </c>
      <c r="AU258" s="159" t="s">
        <v>103</v>
      </c>
      <c r="AV258" s="159" t="s">
        <v>156</v>
      </c>
      <c r="AW258" s="159" t="s">
        <v>113</v>
      </c>
      <c r="AX258" s="159" t="s">
        <v>17</v>
      </c>
      <c r="AY258" s="159" t="s">
        <v>144</v>
      </c>
    </row>
    <row r="259" spans="2:64" s="6" customFormat="1" ht="27" customHeight="1">
      <c r="B259" s="22"/>
      <c r="C259" s="160" t="s">
        <v>510</v>
      </c>
      <c r="D259" s="160" t="s">
        <v>348</v>
      </c>
      <c r="E259" s="161" t="s">
        <v>511</v>
      </c>
      <c r="F259" s="230" t="s">
        <v>512</v>
      </c>
      <c r="G259" s="231"/>
      <c r="H259" s="231"/>
      <c r="I259" s="231"/>
      <c r="J259" s="162" t="s">
        <v>328</v>
      </c>
      <c r="K259" s="163">
        <v>110.588</v>
      </c>
      <c r="L259" s="232">
        <v>0</v>
      </c>
      <c r="M259" s="231"/>
      <c r="N259" s="233">
        <f>ROUND($L$259*$K$259,2)</f>
        <v>0</v>
      </c>
      <c r="O259" s="218"/>
      <c r="P259" s="218"/>
      <c r="Q259" s="218"/>
      <c r="R259" s="24"/>
      <c r="T259" s="138"/>
      <c r="U259" s="30" t="s">
        <v>38</v>
      </c>
      <c r="V259" s="139">
        <v>0</v>
      </c>
      <c r="W259" s="139">
        <f>$V$259*$K$259</f>
        <v>0</v>
      </c>
      <c r="X259" s="139">
        <v>0.0126</v>
      </c>
      <c r="Y259" s="139">
        <f>$X$259*$K$259</f>
        <v>1.3934088</v>
      </c>
      <c r="Z259" s="139">
        <v>0</v>
      </c>
      <c r="AA259" s="140">
        <f>$Z$259*$K$259</f>
        <v>0</v>
      </c>
      <c r="AR259" s="6" t="s">
        <v>238</v>
      </c>
      <c r="AT259" s="6" t="s">
        <v>348</v>
      </c>
      <c r="AU259" s="6" t="s">
        <v>103</v>
      </c>
      <c r="AY259" s="6" t="s">
        <v>144</v>
      </c>
      <c r="BE259" s="88">
        <f>IF($U$259="základní",$N$259,0)</f>
        <v>0</v>
      </c>
      <c r="BF259" s="88">
        <f>IF($U$259="snížená",$N$259,0)</f>
        <v>0</v>
      </c>
      <c r="BG259" s="88">
        <f>IF($U$259="zákl. přenesená",$N$259,0)</f>
        <v>0</v>
      </c>
      <c r="BH259" s="88">
        <f>IF($U$259="sníž. přenesená",$N$259,0)</f>
        <v>0</v>
      </c>
      <c r="BI259" s="88">
        <f>IF($U$259="nulová",$N$259,0)</f>
        <v>0</v>
      </c>
      <c r="BJ259" s="6" t="s">
        <v>17</v>
      </c>
      <c r="BK259" s="88">
        <f>ROUND($L$259*$K$259,2)</f>
        <v>0</v>
      </c>
      <c r="BL259" s="6" t="s">
        <v>149</v>
      </c>
    </row>
    <row r="260" spans="2:64" s="6" customFormat="1" ht="39" customHeight="1">
      <c r="B260" s="22"/>
      <c r="C260" s="134" t="s">
        <v>513</v>
      </c>
      <c r="D260" s="134" t="s">
        <v>145</v>
      </c>
      <c r="E260" s="135" t="s">
        <v>514</v>
      </c>
      <c r="F260" s="217" t="s">
        <v>515</v>
      </c>
      <c r="G260" s="218"/>
      <c r="H260" s="218"/>
      <c r="I260" s="218"/>
      <c r="J260" s="136" t="s">
        <v>328</v>
      </c>
      <c r="K260" s="137">
        <v>106.335</v>
      </c>
      <c r="L260" s="219">
        <v>0</v>
      </c>
      <c r="M260" s="218"/>
      <c r="N260" s="220">
        <f>ROUND($L$260*$K$260,2)</f>
        <v>0</v>
      </c>
      <c r="O260" s="218"/>
      <c r="P260" s="218"/>
      <c r="Q260" s="218"/>
      <c r="R260" s="24"/>
      <c r="T260" s="138"/>
      <c r="U260" s="30" t="s">
        <v>38</v>
      </c>
      <c r="V260" s="139">
        <v>0.1</v>
      </c>
      <c r="W260" s="139">
        <f>$V$260*$K$260</f>
        <v>10.6335</v>
      </c>
      <c r="X260" s="139">
        <v>0</v>
      </c>
      <c r="Y260" s="139">
        <f>$X$260*$K$260</f>
        <v>0</v>
      </c>
      <c r="Z260" s="139">
        <v>0</v>
      </c>
      <c r="AA260" s="140">
        <f>$Z$260*$K$260</f>
        <v>0</v>
      </c>
      <c r="AR260" s="6" t="s">
        <v>149</v>
      </c>
      <c r="AT260" s="6" t="s">
        <v>145</v>
      </c>
      <c r="AU260" s="6" t="s">
        <v>103</v>
      </c>
      <c r="AY260" s="6" t="s">
        <v>144</v>
      </c>
      <c r="BE260" s="88">
        <f>IF($U$260="základní",$N$260,0)</f>
        <v>0</v>
      </c>
      <c r="BF260" s="88">
        <f>IF($U$260="snížená",$N$260,0)</f>
        <v>0</v>
      </c>
      <c r="BG260" s="88">
        <f>IF($U$260="zákl. přenesená",$N$260,0)</f>
        <v>0</v>
      </c>
      <c r="BH260" s="88">
        <f>IF($U$260="sníž. přenesená",$N$260,0)</f>
        <v>0</v>
      </c>
      <c r="BI260" s="88">
        <f>IF($U$260="nulová",$N$260,0)</f>
        <v>0</v>
      </c>
      <c r="BJ260" s="6" t="s">
        <v>17</v>
      </c>
      <c r="BK260" s="88">
        <f>ROUND($L$260*$K$260,2)</f>
        <v>0</v>
      </c>
      <c r="BL260" s="6" t="s">
        <v>149</v>
      </c>
    </row>
    <row r="261" spans="2:51" s="6" customFormat="1" ht="15.75" customHeight="1">
      <c r="B261" s="146"/>
      <c r="C261" s="147"/>
      <c r="D261" s="147"/>
      <c r="E261" s="147"/>
      <c r="F261" s="226" t="s">
        <v>516</v>
      </c>
      <c r="G261" s="227"/>
      <c r="H261" s="227"/>
      <c r="I261" s="227"/>
      <c r="J261" s="147"/>
      <c r="K261" s="148">
        <v>106.335</v>
      </c>
      <c r="L261" s="147"/>
      <c r="M261" s="147"/>
      <c r="N261" s="147"/>
      <c r="O261" s="147"/>
      <c r="P261" s="147"/>
      <c r="Q261" s="147"/>
      <c r="R261" s="149"/>
      <c r="T261" s="150"/>
      <c r="U261" s="147"/>
      <c r="V261" s="147"/>
      <c r="W261" s="147"/>
      <c r="X261" s="147"/>
      <c r="Y261" s="147"/>
      <c r="Z261" s="147"/>
      <c r="AA261" s="151"/>
      <c r="AT261" s="152" t="s">
        <v>315</v>
      </c>
      <c r="AU261" s="152" t="s">
        <v>103</v>
      </c>
      <c r="AV261" s="152" t="s">
        <v>103</v>
      </c>
      <c r="AW261" s="152" t="s">
        <v>113</v>
      </c>
      <c r="AX261" s="152" t="s">
        <v>17</v>
      </c>
      <c r="AY261" s="152" t="s">
        <v>144</v>
      </c>
    </row>
    <row r="262" spans="2:64" s="6" customFormat="1" ht="27" customHeight="1">
      <c r="B262" s="22"/>
      <c r="C262" s="134" t="s">
        <v>517</v>
      </c>
      <c r="D262" s="134" t="s">
        <v>145</v>
      </c>
      <c r="E262" s="135" t="s">
        <v>518</v>
      </c>
      <c r="F262" s="217" t="s">
        <v>519</v>
      </c>
      <c r="G262" s="218"/>
      <c r="H262" s="218"/>
      <c r="I262" s="218"/>
      <c r="J262" s="136" t="s">
        <v>148</v>
      </c>
      <c r="K262" s="137">
        <v>59.4</v>
      </c>
      <c r="L262" s="219">
        <v>0</v>
      </c>
      <c r="M262" s="218"/>
      <c r="N262" s="220">
        <f>ROUND($L$262*$K$262,2)</f>
        <v>0</v>
      </c>
      <c r="O262" s="218"/>
      <c r="P262" s="218"/>
      <c r="Q262" s="218"/>
      <c r="R262" s="24"/>
      <c r="T262" s="138"/>
      <c r="U262" s="30" t="s">
        <v>38</v>
      </c>
      <c r="V262" s="139">
        <v>0.16</v>
      </c>
      <c r="W262" s="139">
        <f>$V$262*$K$262</f>
        <v>9.504</v>
      </c>
      <c r="X262" s="139">
        <v>0.00026</v>
      </c>
      <c r="Y262" s="139">
        <f>$X$262*$K$262</f>
        <v>0.015443999999999998</v>
      </c>
      <c r="Z262" s="139">
        <v>0</v>
      </c>
      <c r="AA262" s="140">
        <f>$Z$262*$K$262</f>
        <v>0</v>
      </c>
      <c r="AR262" s="6" t="s">
        <v>149</v>
      </c>
      <c r="AT262" s="6" t="s">
        <v>145</v>
      </c>
      <c r="AU262" s="6" t="s">
        <v>103</v>
      </c>
      <c r="AY262" s="6" t="s">
        <v>144</v>
      </c>
      <c r="BE262" s="88">
        <f>IF($U$262="základní",$N$262,0)</f>
        <v>0</v>
      </c>
      <c r="BF262" s="88">
        <f>IF($U$262="snížená",$N$262,0)</f>
        <v>0</v>
      </c>
      <c r="BG262" s="88">
        <f>IF($U$262="zákl. přenesená",$N$262,0)</f>
        <v>0</v>
      </c>
      <c r="BH262" s="88">
        <f>IF($U$262="sníž. přenesená",$N$262,0)</f>
        <v>0</v>
      </c>
      <c r="BI262" s="88">
        <f>IF($U$262="nulová",$N$262,0)</f>
        <v>0</v>
      </c>
      <c r="BJ262" s="6" t="s">
        <v>17</v>
      </c>
      <c r="BK262" s="88">
        <f>ROUND($L$262*$K$262,2)</f>
        <v>0</v>
      </c>
      <c r="BL262" s="6" t="s">
        <v>149</v>
      </c>
    </row>
    <row r="263" spans="2:51" s="6" customFormat="1" ht="27" customHeight="1">
      <c r="B263" s="146"/>
      <c r="C263" s="147"/>
      <c r="D263" s="147"/>
      <c r="E263" s="147"/>
      <c r="F263" s="226" t="s">
        <v>520</v>
      </c>
      <c r="G263" s="227"/>
      <c r="H263" s="227"/>
      <c r="I263" s="227"/>
      <c r="J263" s="147"/>
      <c r="K263" s="148">
        <v>37</v>
      </c>
      <c r="L263" s="147"/>
      <c r="M263" s="147"/>
      <c r="N263" s="147"/>
      <c r="O263" s="147"/>
      <c r="P263" s="147"/>
      <c r="Q263" s="147"/>
      <c r="R263" s="149"/>
      <c r="T263" s="150"/>
      <c r="U263" s="147"/>
      <c r="V263" s="147"/>
      <c r="W263" s="147"/>
      <c r="X263" s="147"/>
      <c r="Y263" s="147"/>
      <c r="Z263" s="147"/>
      <c r="AA263" s="151"/>
      <c r="AT263" s="152" t="s">
        <v>315</v>
      </c>
      <c r="AU263" s="152" t="s">
        <v>103</v>
      </c>
      <c r="AV263" s="152" t="s">
        <v>103</v>
      </c>
      <c r="AW263" s="152" t="s">
        <v>113</v>
      </c>
      <c r="AX263" s="152" t="s">
        <v>73</v>
      </c>
      <c r="AY263" s="152" t="s">
        <v>144</v>
      </c>
    </row>
    <row r="264" spans="2:51" s="6" customFormat="1" ht="15.75" customHeight="1">
      <c r="B264" s="146"/>
      <c r="C264" s="147"/>
      <c r="D264" s="147"/>
      <c r="E264" s="147"/>
      <c r="F264" s="226" t="s">
        <v>521</v>
      </c>
      <c r="G264" s="227"/>
      <c r="H264" s="227"/>
      <c r="I264" s="227"/>
      <c r="J264" s="147"/>
      <c r="K264" s="148">
        <v>22.4</v>
      </c>
      <c r="L264" s="147"/>
      <c r="M264" s="147"/>
      <c r="N264" s="147"/>
      <c r="O264" s="147"/>
      <c r="P264" s="147"/>
      <c r="Q264" s="147"/>
      <c r="R264" s="149"/>
      <c r="T264" s="150"/>
      <c r="U264" s="147"/>
      <c r="V264" s="147"/>
      <c r="W264" s="147"/>
      <c r="X264" s="147"/>
      <c r="Y264" s="147"/>
      <c r="Z264" s="147"/>
      <c r="AA264" s="151"/>
      <c r="AT264" s="152" t="s">
        <v>315</v>
      </c>
      <c r="AU264" s="152" t="s">
        <v>103</v>
      </c>
      <c r="AV264" s="152" t="s">
        <v>103</v>
      </c>
      <c r="AW264" s="152" t="s">
        <v>113</v>
      </c>
      <c r="AX264" s="152" t="s">
        <v>73</v>
      </c>
      <c r="AY264" s="152" t="s">
        <v>144</v>
      </c>
    </row>
    <row r="265" spans="2:51" s="6" customFormat="1" ht="15.75" customHeight="1">
      <c r="B265" s="153"/>
      <c r="C265" s="154"/>
      <c r="D265" s="154"/>
      <c r="E265" s="154"/>
      <c r="F265" s="228" t="s">
        <v>345</v>
      </c>
      <c r="G265" s="229"/>
      <c r="H265" s="229"/>
      <c r="I265" s="229"/>
      <c r="J265" s="154"/>
      <c r="K265" s="155">
        <v>59.4</v>
      </c>
      <c r="L265" s="154"/>
      <c r="M265" s="154"/>
      <c r="N265" s="154"/>
      <c r="O265" s="154"/>
      <c r="P265" s="154"/>
      <c r="Q265" s="154"/>
      <c r="R265" s="156"/>
      <c r="T265" s="157"/>
      <c r="U265" s="154"/>
      <c r="V265" s="154"/>
      <c r="W265" s="154"/>
      <c r="X265" s="154"/>
      <c r="Y265" s="154"/>
      <c r="Z265" s="154"/>
      <c r="AA265" s="158"/>
      <c r="AT265" s="159" t="s">
        <v>315</v>
      </c>
      <c r="AU265" s="159" t="s">
        <v>103</v>
      </c>
      <c r="AV265" s="159" t="s">
        <v>156</v>
      </c>
      <c r="AW265" s="159" t="s">
        <v>113</v>
      </c>
      <c r="AX265" s="159" t="s">
        <v>17</v>
      </c>
      <c r="AY265" s="159" t="s">
        <v>144</v>
      </c>
    </row>
    <row r="266" spans="2:64" s="6" customFormat="1" ht="15.75" customHeight="1">
      <c r="B266" s="22"/>
      <c r="C266" s="134" t="s">
        <v>522</v>
      </c>
      <c r="D266" s="134" t="s">
        <v>145</v>
      </c>
      <c r="E266" s="135" t="s">
        <v>523</v>
      </c>
      <c r="F266" s="217" t="s">
        <v>524</v>
      </c>
      <c r="G266" s="218"/>
      <c r="H266" s="218"/>
      <c r="I266" s="218"/>
      <c r="J266" s="136" t="s">
        <v>328</v>
      </c>
      <c r="K266" s="137">
        <v>106.335</v>
      </c>
      <c r="L266" s="219">
        <v>0</v>
      </c>
      <c r="M266" s="218"/>
      <c r="N266" s="220">
        <f>ROUND($L$266*$K$266,2)</f>
        <v>0</v>
      </c>
      <c r="O266" s="218"/>
      <c r="P266" s="218"/>
      <c r="Q266" s="218"/>
      <c r="R266" s="24"/>
      <c r="T266" s="138"/>
      <c r="U266" s="30" t="s">
        <v>38</v>
      </c>
      <c r="V266" s="139">
        <v>0.044</v>
      </c>
      <c r="W266" s="139">
        <f>$V$266*$K$266</f>
        <v>4.6787399999999995</v>
      </c>
      <c r="X266" s="139">
        <v>0.0003</v>
      </c>
      <c r="Y266" s="139">
        <f>$X$266*$K$266</f>
        <v>0.0319005</v>
      </c>
      <c r="Z266" s="139">
        <v>0</v>
      </c>
      <c r="AA266" s="140">
        <f>$Z$266*$K$266</f>
        <v>0</v>
      </c>
      <c r="AR266" s="6" t="s">
        <v>149</v>
      </c>
      <c r="AT266" s="6" t="s">
        <v>145</v>
      </c>
      <c r="AU266" s="6" t="s">
        <v>103</v>
      </c>
      <c r="AY266" s="6" t="s">
        <v>144</v>
      </c>
      <c r="BE266" s="88">
        <f>IF($U$266="základní",$N$266,0)</f>
        <v>0</v>
      </c>
      <c r="BF266" s="88">
        <f>IF($U$266="snížená",$N$266,0)</f>
        <v>0</v>
      </c>
      <c r="BG266" s="88">
        <f>IF($U$266="zákl. přenesená",$N$266,0)</f>
        <v>0</v>
      </c>
      <c r="BH266" s="88">
        <f>IF($U$266="sníž. přenesená",$N$266,0)</f>
        <v>0</v>
      </c>
      <c r="BI266" s="88">
        <f>IF($U$266="nulová",$N$266,0)</f>
        <v>0</v>
      </c>
      <c r="BJ266" s="6" t="s">
        <v>17</v>
      </c>
      <c r="BK266" s="88">
        <f>ROUND($L$266*$K$266,2)</f>
        <v>0</v>
      </c>
      <c r="BL266" s="6" t="s">
        <v>149</v>
      </c>
    </row>
    <row r="267" spans="2:51" s="6" customFormat="1" ht="15.75" customHeight="1">
      <c r="B267" s="146"/>
      <c r="C267" s="147"/>
      <c r="D267" s="147"/>
      <c r="E267" s="147"/>
      <c r="F267" s="226" t="s">
        <v>516</v>
      </c>
      <c r="G267" s="227"/>
      <c r="H267" s="227"/>
      <c r="I267" s="227"/>
      <c r="J267" s="147"/>
      <c r="K267" s="148">
        <v>106.335</v>
      </c>
      <c r="L267" s="147"/>
      <c r="M267" s="147"/>
      <c r="N267" s="147"/>
      <c r="O267" s="147"/>
      <c r="P267" s="147"/>
      <c r="Q267" s="147"/>
      <c r="R267" s="149"/>
      <c r="T267" s="150"/>
      <c r="U267" s="147"/>
      <c r="V267" s="147"/>
      <c r="W267" s="147"/>
      <c r="X267" s="147"/>
      <c r="Y267" s="147"/>
      <c r="Z267" s="147"/>
      <c r="AA267" s="151"/>
      <c r="AT267" s="152" t="s">
        <v>315</v>
      </c>
      <c r="AU267" s="152" t="s">
        <v>103</v>
      </c>
      <c r="AV267" s="152" t="s">
        <v>103</v>
      </c>
      <c r="AW267" s="152" t="s">
        <v>113</v>
      </c>
      <c r="AX267" s="152" t="s">
        <v>17</v>
      </c>
      <c r="AY267" s="152" t="s">
        <v>144</v>
      </c>
    </row>
    <row r="268" spans="2:64" s="6" customFormat="1" ht="27" customHeight="1">
      <c r="B268" s="22"/>
      <c r="C268" s="134" t="s">
        <v>525</v>
      </c>
      <c r="D268" s="134" t="s">
        <v>145</v>
      </c>
      <c r="E268" s="135" t="s">
        <v>526</v>
      </c>
      <c r="F268" s="217" t="s">
        <v>527</v>
      </c>
      <c r="G268" s="218"/>
      <c r="H268" s="218"/>
      <c r="I268" s="218"/>
      <c r="J268" s="136" t="s">
        <v>185</v>
      </c>
      <c r="K268" s="137">
        <v>1.76</v>
      </c>
      <c r="L268" s="219">
        <v>0</v>
      </c>
      <c r="M268" s="218"/>
      <c r="N268" s="220">
        <f>ROUND($L$268*$K$268,2)</f>
        <v>0</v>
      </c>
      <c r="O268" s="218"/>
      <c r="P268" s="218"/>
      <c r="Q268" s="218"/>
      <c r="R268" s="24"/>
      <c r="T268" s="138"/>
      <c r="U268" s="30" t="s">
        <v>38</v>
      </c>
      <c r="V268" s="139">
        <v>1.305</v>
      </c>
      <c r="W268" s="139">
        <f>$V$268*$K$268</f>
        <v>2.2967999999999997</v>
      </c>
      <c r="X268" s="139">
        <v>0</v>
      </c>
      <c r="Y268" s="139">
        <f>$X$268*$K$268</f>
        <v>0</v>
      </c>
      <c r="Z268" s="139">
        <v>0</v>
      </c>
      <c r="AA268" s="140">
        <f>$Z$268*$K$268</f>
        <v>0</v>
      </c>
      <c r="AR268" s="6" t="s">
        <v>149</v>
      </c>
      <c r="AT268" s="6" t="s">
        <v>145</v>
      </c>
      <c r="AU268" s="6" t="s">
        <v>103</v>
      </c>
      <c r="AY268" s="6" t="s">
        <v>144</v>
      </c>
      <c r="BE268" s="88">
        <f>IF($U$268="základní",$N$268,0)</f>
        <v>0</v>
      </c>
      <c r="BF268" s="88">
        <f>IF($U$268="snížená",$N$268,0)</f>
        <v>0</v>
      </c>
      <c r="BG268" s="88">
        <f>IF($U$268="zákl. přenesená",$N$268,0)</f>
        <v>0</v>
      </c>
      <c r="BH268" s="88">
        <f>IF($U$268="sníž. přenesená",$N$268,0)</f>
        <v>0</v>
      </c>
      <c r="BI268" s="88">
        <f>IF($U$268="nulová",$N$268,0)</f>
        <v>0</v>
      </c>
      <c r="BJ268" s="6" t="s">
        <v>17</v>
      </c>
      <c r="BK268" s="88">
        <f>ROUND($L$268*$K$268,2)</f>
        <v>0</v>
      </c>
      <c r="BL268" s="6" t="s">
        <v>149</v>
      </c>
    </row>
    <row r="269" spans="2:63" s="123" customFormat="1" ht="30.75" customHeight="1">
      <c r="B269" s="124"/>
      <c r="C269" s="125"/>
      <c r="D269" s="133" t="s">
        <v>309</v>
      </c>
      <c r="E269" s="125"/>
      <c r="F269" s="125"/>
      <c r="G269" s="125"/>
      <c r="H269" s="125"/>
      <c r="I269" s="125"/>
      <c r="J269" s="125"/>
      <c r="K269" s="125"/>
      <c r="L269" s="125"/>
      <c r="M269" s="125"/>
      <c r="N269" s="225">
        <f>$BK$269</f>
        <v>0</v>
      </c>
      <c r="O269" s="224"/>
      <c r="P269" s="224"/>
      <c r="Q269" s="224"/>
      <c r="R269" s="127"/>
      <c r="T269" s="128"/>
      <c r="U269" s="125"/>
      <c r="V269" s="125"/>
      <c r="W269" s="129">
        <f>SUM($W$270:$W$272)</f>
        <v>21.734099999999998</v>
      </c>
      <c r="X269" s="125"/>
      <c r="Y269" s="129">
        <f>SUM($Y$270:$Y$272)</f>
        <v>0.02512275</v>
      </c>
      <c r="Z269" s="125"/>
      <c r="AA269" s="130">
        <f>SUM($AA$270:$AA$272)</f>
        <v>0</v>
      </c>
      <c r="AR269" s="131" t="s">
        <v>103</v>
      </c>
      <c r="AT269" s="131" t="s">
        <v>72</v>
      </c>
      <c r="AU269" s="131" t="s">
        <v>17</v>
      </c>
      <c r="AY269" s="131" t="s">
        <v>144</v>
      </c>
      <c r="BK269" s="132">
        <f>SUM($BK$270:$BK$272)</f>
        <v>0</v>
      </c>
    </row>
    <row r="270" spans="2:64" s="6" customFormat="1" ht="39" customHeight="1">
      <c r="B270" s="22"/>
      <c r="C270" s="134" t="s">
        <v>528</v>
      </c>
      <c r="D270" s="134" t="s">
        <v>145</v>
      </c>
      <c r="E270" s="135" t="s">
        <v>529</v>
      </c>
      <c r="F270" s="217" t="s">
        <v>530</v>
      </c>
      <c r="G270" s="218"/>
      <c r="H270" s="218"/>
      <c r="I270" s="218"/>
      <c r="J270" s="136" t="s">
        <v>328</v>
      </c>
      <c r="K270" s="137">
        <v>58.425</v>
      </c>
      <c r="L270" s="219">
        <v>0</v>
      </c>
      <c r="M270" s="218"/>
      <c r="N270" s="220">
        <f>ROUND($L$270*$K$270,2)</f>
        <v>0</v>
      </c>
      <c r="O270" s="218"/>
      <c r="P270" s="218"/>
      <c r="Q270" s="218"/>
      <c r="R270" s="24"/>
      <c r="T270" s="138"/>
      <c r="U270" s="30" t="s">
        <v>38</v>
      </c>
      <c r="V270" s="139">
        <v>0.372</v>
      </c>
      <c r="W270" s="139">
        <f>$V$270*$K$270</f>
        <v>21.734099999999998</v>
      </c>
      <c r="X270" s="139">
        <v>0.00043</v>
      </c>
      <c r="Y270" s="139">
        <f>$X$270*$K$270</f>
        <v>0.02512275</v>
      </c>
      <c r="Z270" s="139">
        <v>0</v>
      </c>
      <c r="AA270" s="140">
        <f>$Z$270*$K$270</f>
        <v>0</v>
      </c>
      <c r="AR270" s="6" t="s">
        <v>149</v>
      </c>
      <c r="AT270" s="6" t="s">
        <v>145</v>
      </c>
      <c r="AU270" s="6" t="s">
        <v>103</v>
      </c>
      <c r="AY270" s="6" t="s">
        <v>144</v>
      </c>
      <c r="BE270" s="88">
        <f>IF($U$270="základní",$N$270,0)</f>
        <v>0</v>
      </c>
      <c r="BF270" s="88">
        <f>IF($U$270="snížená",$N$270,0)</f>
        <v>0</v>
      </c>
      <c r="BG270" s="88">
        <f>IF($U$270="zákl. přenesená",$N$270,0)</f>
        <v>0</v>
      </c>
      <c r="BH270" s="88">
        <f>IF($U$270="sníž. přenesená",$N$270,0)</f>
        <v>0</v>
      </c>
      <c r="BI270" s="88">
        <f>IF($U$270="nulová",$N$270,0)</f>
        <v>0</v>
      </c>
      <c r="BJ270" s="6" t="s">
        <v>17</v>
      </c>
      <c r="BK270" s="88">
        <f>ROUND($L$270*$K$270,2)</f>
        <v>0</v>
      </c>
      <c r="BL270" s="6" t="s">
        <v>149</v>
      </c>
    </row>
    <row r="271" spans="2:47" s="6" customFormat="1" ht="15.75" customHeight="1">
      <c r="B271" s="22"/>
      <c r="C271" s="23"/>
      <c r="D271" s="23"/>
      <c r="E271" s="23"/>
      <c r="F271" s="234" t="s">
        <v>531</v>
      </c>
      <c r="G271" s="183"/>
      <c r="H271" s="183"/>
      <c r="I271" s="183"/>
      <c r="J271" s="23"/>
      <c r="K271" s="23"/>
      <c r="L271" s="23"/>
      <c r="M271" s="23"/>
      <c r="N271" s="23"/>
      <c r="O271" s="23"/>
      <c r="P271" s="23"/>
      <c r="Q271" s="23"/>
      <c r="R271" s="24"/>
      <c r="T271" s="59"/>
      <c r="U271" s="23"/>
      <c r="V271" s="23"/>
      <c r="W271" s="23"/>
      <c r="X271" s="23"/>
      <c r="Y271" s="23"/>
      <c r="Z271" s="23"/>
      <c r="AA271" s="60"/>
      <c r="AT271" s="6" t="s">
        <v>420</v>
      </c>
      <c r="AU271" s="6" t="s">
        <v>103</v>
      </c>
    </row>
    <row r="272" spans="2:51" s="6" customFormat="1" ht="15.75" customHeight="1">
      <c r="B272" s="146"/>
      <c r="C272" s="147"/>
      <c r="D272" s="147"/>
      <c r="E272" s="147"/>
      <c r="F272" s="226" t="s">
        <v>532</v>
      </c>
      <c r="G272" s="227"/>
      <c r="H272" s="227"/>
      <c r="I272" s="227"/>
      <c r="J272" s="147"/>
      <c r="K272" s="148">
        <v>58.425</v>
      </c>
      <c r="L272" s="147"/>
      <c r="M272" s="147"/>
      <c r="N272" s="147"/>
      <c r="O272" s="147"/>
      <c r="P272" s="147"/>
      <c r="Q272" s="147"/>
      <c r="R272" s="149"/>
      <c r="T272" s="150"/>
      <c r="U272" s="147"/>
      <c r="V272" s="147"/>
      <c r="W272" s="147"/>
      <c r="X272" s="147"/>
      <c r="Y272" s="147"/>
      <c r="Z272" s="147"/>
      <c r="AA272" s="151"/>
      <c r="AT272" s="152" t="s">
        <v>315</v>
      </c>
      <c r="AU272" s="152" t="s">
        <v>103</v>
      </c>
      <c r="AV272" s="152" t="s">
        <v>103</v>
      </c>
      <c r="AW272" s="152" t="s">
        <v>113</v>
      </c>
      <c r="AX272" s="152" t="s">
        <v>17</v>
      </c>
      <c r="AY272" s="152" t="s">
        <v>144</v>
      </c>
    </row>
    <row r="273" spans="2:63" s="123" customFormat="1" ht="30.75" customHeight="1">
      <c r="B273" s="124"/>
      <c r="C273" s="125"/>
      <c r="D273" s="133" t="s">
        <v>310</v>
      </c>
      <c r="E273" s="125"/>
      <c r="F273" s="125"/>
      <c r="G273" s="125"/>
      <c r="H273" s="125"/>
      <c r="I273" s="125"/>
      <c r="J273" s="125"/>
      <c r="K273" s="125"/>
      <c r="L273" s="125"/>
      <c r="M273" s="125"/>
      <c r="N273" s="225">
        <f>$BK$273</f>
        <v>0</v>
      </c>
      <c r="O273" s="224"/>
      <c r="P273" s="224"/>
      <c r="Q273" s="224"/>
      <c r="R273" s="127"/>
      <c r="T273" s="128"/>
      <c r="U273" s="125"/>
      <c r="V273" s="125"/>
      <c r="W273" s="129">
        <f>SUM($W$274:$W$279)</f>
        <v>62.739584</v>
      </c>
      <c r="X273" s="125"/>
      <c r="Y273" s="129">
        <f>SUM($Y$274:$Y$279)</f>
        <v>0.28428874000000004</v>
      </c>
      <c r="Z273" s="125"/>
      <c r="AA273" s="130">
        <f>SUM($AA$274:$AA$279)</f>
        <v>0</v>
      </c>
      <c r="AR273" s="131" t="s">
        <v>103</v>
      </c>
      <c r="AT273" s="131" t="s">
        <v>72</v>
      </c>
      <c r="AU273" s="131" t="s">
        <v>17</v>
      </c>
      <c r="AY273" s="131" t="s">
        <v>144</v>
      </c>
      <c r="BK273" s="132">
        <f>SUM($BK$274:$BK$279)</f>
        <v>0</v>
      </c>
    </row>
    <row r="274" spans="2:64" s="6" customFormat="1" ht="27" customHeight="1">
      <c r="B274" s="22"/>
      <c r="C274" s="134" t="s">
        <v>533</v>
      </c>
      <c r="D274" s="134" t="s">
        <v>145</v>
      </c>
      <c r="E274" s="135" t="s">
        <v>534</v>
      </c>
      <c r="F274" s="217" t="s">
        <v>535</v>
      </c>
      <c r="G274" s="218"/>
      <c r="H274" s="218"/>
      <c r="I274" s="218"/>
      <c r="J274" s="136" t="s">
        <v>328</v>
      </c>
      <c r="K274" s="137">
        <v>980.306</v>
      </c>
      <c r="L274" s="219">
        <v>0</v>
      </c>
      <c r="M274" s="218"/>
      <c r="N274" s="220">
        <f>ROUND($L$274*$K$274,2)</f>
        <v>0</v>
      </c>
      <c r="O274" s="218"/>
      <c r="P274" s="218"/>
      <c r="Q274" s="218"/>
      <c r="R274" s="24"/>
      <c r="T274" s="138"/>
      <c r="U274" s="30" t="s">
        <v>38</v>
      </c>
      <c r="V274" s="139">
        <v>0.064</v>
      </c>
      <c r="W274" s="139">
        <f>$V$274*$K$274</f>
        <v>62.739584</v>
      </c>
      <c r="X274" s="139">
        <v>0.00029</v>
      </c>
      <c r="Y274" s="139">
        <f>$X$274*$K$274</f>
        <v>0.28428874000000004</v>
      </c>
      <c r="Z274" s="139">
        <v>0</v>
      </c>
      <c r="AA274" s="140">
        <f>$Z$274*$K$274</f>
        <v>0</v>
      </c>
      <c r="AR274" s="6" t="s">
        <v>149</v>
      </c>
      <c r="AT274" s="6" t="s">
        <v>145</v>
      </c>
      <c r="AU274" s="6" t="s">
        <v>103</v>
      </c>
      <c r="AY274" s="6" t="s">
        <v>144</v>
      </c>
      <c r="BE274" s="88">
        <f>IF($U$274="základní",$N$274,0)</f>
        <v>0</v>
      </c>
      <c r="BF274" s="88">
        <f>IF($U$274="snížená",$N$274,0)</f>
        <v>0</v>
      </c>
      <c r="BG274" s="88">
        <f>IF($U$274="zákl. přenesená",$N$274,0)</f>
        <v>0</v>
      </c>
      <c r="BH274" s="88">
        <f>IF($U$274="sníž. přenesená",$N$274,0)</f>
        <v>0</v>
      </c>
      <c r="BI274" s="88">
        <f>IF($U$274="nulová",$N$274,0)</f>
        <v>0</v>
      </c>
      <c r="BJ274" s="6" t="s">
        <v>17</v>
      </c>
      <c r="BK274" s="88">
        <f>ROUND($L$274*$K$274,2)</f>
        <v>0</v>
      </c>
      <c r="BL274" s="6" t="s">
        <v>149</v>
      </c>
    </row>
    <row r="275" spans="2:51" s="6" customFormat="1" ht="27" customHeight="1">
      <c r="B275" s="146"/>
      <c r="C275" s="147"/>
      <c r="D275" s="147"/>
      <c r="E275" s="147"/>
      <c r="F275" s="226" t="s">
        <v>536</v>
      </c>
      <c r="G275" s="227"/>
      <c r="H275" s="227"/>
      <c r="I275" s="227"/>
      <c r="J275" s="147"/>
      <c r="K275" s="148">
        <v>225.6</v>
      </c>
      <c r="L275" s="147"/>
      <c r="M275" s="147"/>
      <c r="N275" s="147"/>
      <c r="O275" s="147"/>
      <c r="P275" s="147"/>
      <c r="Q275" s="147"/>
      <c r="R275" s="149"/>
      <c r="T275" s="150"/>
      <c r="U275" s="147"/>
      <c r="V275" s="147"/>
      <c r="W275" s="147"/>
      <c r="X275" s="147"/>
      <c r="Y275" s="147"/>
      <c r="Z275" s="147"/>
      <c r="AA275" s="151"/>
      <c r="AT275" s="152" t="s">
        <v>315</v>
      </c>
      <c r="AU275" s="152" t="s">
        <v>103</v>
      </c>
      <c r="AV275" s="152" t="s">
        <v>103</v>
      </c>
      <c r="AW275" s="152" t="s">
        <v>113</v>
      </c>
      <c r="AX275" s="152" t="s">
        <v>73</v>
      </c>
      <c r="AY275" s="152" t="s">
        <v>144</v>
      </c>
    </row>
    <row r="276" spans="2:51" s="6" customFormat="1" ht="27" customHeight="1">
      <c r="B276" s="146"/>
      <c r="C276" s="147"/>
      <c r="D276" s="147"/>
      <c r="E276" s="147"/>
      <c r="F276" s="226" t="s">
        <v>341</v>
      </c>
      <c r="G276" s="227"/>
      <c r="H276" s="227"/>
      <c r="I276" s="227"/>
      <c r="J276" s="147"/>
      <c r="K276" s="148">
        <v>788.24</v>
      </c>
      <c r="L276" s="147"/>
      <c r="M276" s="147"/>
      <c r="N276" s="147"/>
      <c r="O276" s="147"/>
      <c r="P276" s="147"/>
      <c r="Q276" s="147"/>
      <c r="R276" s="149"/>
      <c r="T276" s="150"/>
      <c r="U276" s="147"/>
      <c r="V276" s="147"/>
      <c r="W276" s="147"/>
      <c r="X276" s="147"/>
      <c r="Y276" s="147"/>
      <c r="Z276" s="147"/>
      <c r="AA276" s="151"/>
      <c r="AT276" s="152" t="s">
        <v>315</v>
      </c>
      <c r="AU276" s="152" t="s">
        <v>103</v>
      </c>
      <c r="AV276" s="152" t="s">
        <v>103</v>
      </c>
      <c r="AW276" s="152" t="s">
        <v>113</v>
      </c>
      <c r="AX276" s="152" t="s">
        <v>73</v>
      </c>
      <c r="AY276" s="152" t="s">
        <v>144</v>
      </c>
    </row>
    <row r="277" spans="2:51" s="6" customFormat="1" ht="27" customHeight="1">
      <c r="B277" s="146"/>
      <c r="C277" s="147"/>
      <c r="D277" s="147"/>
      <c r="E277" s="147"/>
      <c r="F277" s="226" t="s">
        <v>537</v>
      </c>
      <c r="G277" s="227"/>
      <c r="H277" s="227"/>
      <c r="I277" s="227"/>
      <c r="J277" s="147"/>
      <c r="K277" s="148">
        <v>131.226</v>
      </c>
      <c r="L277" s="147"/>
      <c r="M277" s="147"/>
      <c r="N277" s="147"/>
      <c r="O277" s="147"/>
      <c r="P277" s="147"/>
      <c r="Q277" s="147"/>
      <c r="R277" s="149"/>
      <c r="T277" s="150"/>
      <c r="U277" s="147"/>
      <c r="V277" s="147"/>
      <c r="W277" s="147"/>
      <c r="X277" s="147"/>
      <c r="Y277" s="147"/>
      <c r="Z277" s="147"/>
      <c r="AA277" s="151"/>
      <c r="AT277" s="152" t="s">
        <v>315</v>
      </c>
      <c r="AU277" s="152" t="s">
        <v>103</v>
      </c>
      <c r="AV277" s="152" t="s">
        <v>103</v>
      </c>
      <c r="AW277" s="152" t="s">
        <v>113</v>
      </c>
      <c r="AX277" s="152" t="s">
        <v>73</v>
      </c>
      <c r="AY277" s="152" t="s">
        <v>144</v>
      </c>
    </row>
    <row r="278" spans="2:51" s="6" customFormat="1" ht="15.75" customHeight="1">
      <c r="B278" s="146"/>
      <c r="C278" s="147"/>
      <c r="D278" s="147"/>
      <c r="E278" s="147"/>
      <c r="F278" s="226" t="s">
        <v>538</v>
      </c>
      <c r="G278" s="227"/>
      <c r="H278" s="227"/>
      <c r="I278" s="227"/>
      <c r="J278" s="147"/>
      <c r="K278" s="148">
        <v>-164.76</v>
      </c>
      <c r="L278" s="147"/>
      <c r="M278" s="147"/>
      <c r="N278" s="147"/>
      <c r="O278" s="147"/>
      <c r="P278" s="147"/>
      <c r="Q278" s="147"/>
      <c r="R278" s="149"/>
      <c r="T278" s="150"/>
      <c r="U278" s="147"/>
      <c r="V278" s="147"/>
      <c r="W278" s="147"/>
      <c r="X278" s="147"/>
      <c r="Y278" s="147"/>
      <c r="Z278" s="147"/>
      <c r="AA278" s="151"/>
      <c r="AT278" s="152" t="s">
        <v>315</v>
      </c>
      <c r="AU278" s="152" t="s">
        <v>103</v>
      </c>
      <c r="AV278" s="152" t="s">
        <v>103</v>
      </c>
      <c r="AW278" s="152" t="s">
        <v>113</v>
      </c>
      <c r="AX278" s="152" t="s">
        <v>73</v>
      </c>
      <c r="AY278" s="152" t="s">
        <v>144</v>
      </c>
    </row>
    <row r="279" spans="2:51" s="6" customFormat="1" ht="15.75" customHeight="1">
      <c r="B279" s="153"/>
      <c r="C279" s="154"/>
      <c r="D279" s="154"/>
      <c r="E279" s="154"/>
      <c r="F279" s="228" t="s">
        <v>345</v>
      </c>
      <c r="G279" s="229"/>
      <c r="H279" s="229"/>
      <c r="I279" s="229"/>
      <c r="J279" s="154"/>
      <c r="K279" s="155">
        <v>980.306</v>
      </c>
      <c r="L279" s="154"/>
      <c r="M279" s="154"/>
      <c r="N279" s="154"/>
      <c r="O279" s="154"/>
      <c r="P279" s="154"/>
      <c r="Q279" s="154"/>
      <c r="R279" s="156"/>
      <c r="T279" s="157"/>
      <c r="U279" s="154"/>
      <c r="V279" s="154"/>
      <c r="W279" s="154"/>
      <c r="X279" s="154"/>
      <c r="Y279" s="154"/>
      <c r="Z279" s="154"/>
      <c r="AA279" s="158"/>
      <c r="AT279" s="159" t="s">
        <v>315</v>
      </c>
      <c r="AU279" s="159" t="s">
        <v>103</v>
      </c>
      <c r="AV279" s="159" t="s">
        <v>156</v>
      </c>
      <c r="AW279" s="159" t="s">
        <v>113</v>
      </c>
      <c r="AX279" s="159" t="s">
        <v>17</v>
      </c>
      <c r="AY279" s="159" t="s">
        <v>144</v>
      </c>
    </row>
    <row r="280" spans="2:63" s="6" customFormat="1" ht="51" customHeight="1">
      <c r="B280" s="22"/>
      <c r="C280" s="23"/>
      <c r="D280" s="126" t="s">
        <v>293</v>
      </c>
      <c r="E280" s="23"/>
      <c r="F280" s="23"/>
      <c r="G280" s="23"/>
      <c r="H280" s="23"/>
      <c r="I280" s="23"/>
      <c r="J280" s="23"/>
      <c r="K280" s="23"/>
      <c r="L280" s="23"/>
      <c r="M280" s="23"/>
      <c r="N280" s="213">
        <f>$BK$280</f>
        <v>0</v>
      </c>
      <c r="O280" s="183"/>
      <c r="P280" s="183"/>
      <c r="Q280" s="183"/>
      <c r="R280" s="24"/>
      <c r="T280" s="59"/>
      <c r="U280" s="23"/>
      <c r="V280" s="23"/>
      <c r="W280" s="23"/>
      <c r="X280" s="23"/>
      <c r="Y280" s="23"/>
      <c r="Z280" s="23"/>
      <c r="AA280" s="60"/>
      <c r="AT280" s="6" t="s">
        <v>72</v>
      </c>
      <c r="AU280" s="6" t="s">
        <v>73</v>
      </c>
      <c r="AY280" s="6" t="s">
        <v>294</v>
      </c>
      <c r="BK280" s="88">
        <f>SUM($BK$281:$BK$285)</f>
        <v>0</v>
      </c>
    </row>
    <row r="281" spans="2:63" s="6" customFormat="1" ht="23.25" customHeight="1">
      <c r="B281" s="22"/>
      <c r="C281" s="141"/>
      <c r="D281" s="141" t="s">
        <v>145</v>
      </c>
      <c r="E281" s="142"/>
      <c r="F281" s="221"/>
      <c r="G281" s="222"/>
      <c r="H281" s="222"/>
      <c r="I281" s="222"/>
      <c r="J281" s="143"/>
      <c r="K281" s="144"/>
      <c r="L281" s="219"/>
      <c r="M281" s="218"/>
      <c r="N281" s="220">
        <f>$BK$281</f>
        <v>0</v>
      </c>
      <c r="O281" s="218"/>
      <c r="P281" s="218"/>
      <c r="Q281" s="218"/>
      <c r="R281" s="24"/>
      <c r="T281" s="138"/>
      <c r="U281" s="145" t="s">
        <v>38</v>
      </c>
      <c r="V281" s="23"/>
      <c r="W281" s="23"/>
      <c r="X281" s="23"/>
      <c r="Y281" s="23"/>
      <c r="Z281" s="23"/>
      <c r="AA281" s="60"/>
      <c r="AT281" s="6" t="s">
        <v>294</v>
      </c>
      <c r="AU281" s="6" t="s">
        <v>17</v>
      </c>
      <c r="AY281" s="6" t="s">
        <v>294</v>
      </c>
      <c r="BE281" s="88">
        <f>IF($U$281="základní",$N$281,0)</f>
        <v>0</v>
      </c>
      <c r="BF281" s="88">
        <f>IF($U$281="snížená",$N$281,0)</f>
        <v>0</v>
      </c>
      <c r="BG281" s="88">
        <f>IF($U$281="zákl. přenesená",$N$281,0)</f>
        <v>0</v>
      </c>
      <c r="BH281" s="88">
        <f>IF($U$281="sníž. přenesená",$N$281,0)</f>
        <v>0</v>
      </c>
      <c r="BI281" s="88">
        <f>IF($U$281="nulová",$N$281,0)</f>
        <v>0</v>
      </c>
      <c r="BJ281" s="6" t="s">
        <v>17</v>
      </c>
      <c r="BK281" s="88">
        <f>$L$281*$K$281</f>
        <v>0</v>
      </c>
    </row>
    <row r="282" spans="2:63" s="6" customFormat="1" ht="23.25" customHeight="1">
      <c r="B282" s="22"/>
      <c r="C282" s="141"/>
      <c r="D282" s="141" t="s">
        <v>145</v>
      </c>
      <c r="E282" s="142"/>
      <c r="F282" s="221"/>
      <c r="G282" s="222"/>
      <c r="H282" s="222"/>
      <c r="I282" s="222"/>
      <c r="J282" s="143"/>
      <c r="K282" s="144"/>
      <c r="L282" s="219"/>
      <c r="M282" s="218"/>
      <c r="N282" s="220">
        <f>$BK$282</f>
        <v>0</v>
      </c>
      <c r="O282" s="218"/>
      <c r="P282" s="218"/>
      <c r="Q282" s="218"/>
      <c r="R282" s="24"/>
      <c r="T282" s="138"/>
      <c r="U282" s="145" t="s">
        <v>38</v>
      </c>
      <c r="V282" s="23"/>
      <c r="W282" s="23"/>
      <c r="X282" s="23"/>
      <c r="Y282" s="23"/>
      <c r="Z282" s="23"/>
      <c r="AA282" s="60"/>
      <c r="AT282" s="6" t="s">
        <v>294</v>
      </c>
      <c r="AU282" s="6" t="s">
        <v>17</v>
      </c>
      <c r="AY282" s="6" t="s">
        <v>294</v>
      </c>
      <c r="BE282" s="88">
        <f>IF($U$282="základní",$N$282,0)</f>
        <v>0</v>
      </c>
      <c r="BF282" s="88">
        <f>IF($U$282="snížená",$N$282,0)</f>
        <v>0</v>
      </c>
      <c r="BG282" s="88">
        <f>IF($U$282="zákl. přenesená",$N$282,0)</f>
        <v>0</v>
      </c>
      <c r="BH282" s="88">
        <f>IF($U$282="sníž. přenesená",$N$282,0)</f>
        <v>0</v>
      </c>
      <c r="BI282" s="88">
        <f>IF($U$282="nulová",$N$282,0)</f>
        <v>0</v>
      </c>
      <c r="BJ282" s="6" t="s">
        <v>17</v>
      </c>
      <c r="BK282" s="88">
        <f>$L$282*$K$282</f>
        <v>0</v>
      </c>
    </row>
    <row r="283" spans="2:63" s="6" customFormat="1" ht="23.25" customHeight="1">
      <c r="B283" s="22"/>
      <c r="C283" s="141"/>
      <c r="D283" s="141" t="s">
        <v>145</v>
      </c>
      <c r="E283" s="142"/>
      <c r="F283" s="221"/>
      <c r="G283" s="222"/>
      <c r="H283" s="222"/>
      <c r="I283" s="222"/>
      <c r="J283" s="143"/>
      <c r="K283" s="144"/>
      <c r="L283" s="219"/>
      <c r="M283" s="218"/>
      <c r="N283" s="220">
        <f>$BK$283</f>
        <v>0</v>
      </c>
      <c r="O283" s="218"/>
      <c r="P283" s="218"/>
      <c r="Q283" s="218"/>
      <c r="R283" s="24"/>
      <c r="T283" s="138"/>
      <c r="U283" s="145" t="s">
        <v>38</v>
      </c>
      <c r="V283" s="23"/>
      <c r="W283" s="23"/>
      <c r="X283" s="23"/>
      <c r="Y283" s="23"/>
      <c r="Z283" s="23"/>
      <c r="AA283" s="60"/>
      <c r="AT283" s="6" t="s">
        <v>294</v>
      </c>
      <c r="AU283" s="6" t="s">
        <v>17</v>
      </c>
      <c r="AY283" s="6" t="s">
        <v>294</v>
      </c>
      <c r="BE283" s="88">
        <f>IF($U$283="základní",$N$283,0)</f>
        <v>0</v>
      </c>
      <c r="BF283" s="88">
        <f>IF($U$283="snížená",$N$283,0)</f>
        <v>0</v>
      </c>
      <c r="BG283" s="88">
        <f>IF($U$283="zákl. přenesená",$N$283,0)</f>
        <v>0</v>
      </c>
      <c r="BH283" s="88">
        <f>IF($U$283="sníž. přenesená",$N$283,0)</f>
        <v>0</v>
      </c>
      <c r="BI283" s="88">
        <f>IF($U$283="nulová",$N$283,0)</f>
        <v>0</v>
      </c>
      <c r="BJ283" s="6" t="s">
        <v>17</v>
      </c>
      <c r="BK283" s="88">
        <f>$L$283*$K$283</f>
        <v>0</v>
      </c>
    </row>
    <row r="284" spans="2:63" s="6" customFormat="1" ht="23.25" customHeight="1">
      <c r="B284" s="22"/>
      <c r="C284" s="141"/>
      <c r="D284" s="141" t="s">
        <v>145</v>
      </c>
      <c r="E284" s="142"/>
      <c r="F284" s="221"/>
      <c r="G284" s="222"/>
      <c r="H284" s="222"/>
      <c r="I284" s="222"/>
      <c r="J284" s="143"/>
      <c r="K284" s="144"/>
      <c r="L284" s="219"/>
      <c r="M284" s="218"/>
      <c r="N284" s="220">
        <f>$BK$284</f>
        <v>0</v>
      </c>
      <c r="O284" s="218"/>
      <c r="P284" s="218"/>
      <c r="Q284" s="218"/>
      <c r="R284" s="24"/>
      <c r="T284" s="138"/>
      <c r="U284" s="145" t="s">
        <v>38</v>
      </c>
      <c r="V284" s="23"/>
      <c r="W284" s="23"/>
      <c r="X284" s="23"/>
      <c r="Y284" s="23"/>
      <c r="Z284" s="23"/>
      <c r="AA284" s="60"/>
      <c r="AT284" s="6" t="s">
        <v>294</v>
      </c>
      <c r="AU284" s="6" t="s">
        <v>17</v>
      </c>
      <c r="AY284" s="6" t="s">
        <v>294</v>
      </c>
      <c r="BE284" s="88">
        <f>IF($U$284="základní",$N$284,0)</f>
        <v>0</v>
      </c>
      <c r="BF284" s="88">
        <f>IF($U$284="snížená",$N$284,0)</f>
        <v>0</v>
      </c>
      <c r="BG284" s="88">
        <f>IF($U$284="zákl. přenesená",$N$284,0)</f>
        <v>0</v>
      </c>
      <c r="BH284" s="88">
        <f>IF($U$284="sníž. přenesená",$N$284,0)</f>
        <v>0</v>
      </c>
      <c r="BI284" s="88">
        <f>IF($U$284="nulová",$N$284,0)</f>
        <v>0</v>
      </c>
      <c r="BJ284" s="6" t="s">
        <v>17</v>
      </c>
      <c r="BK284" s="88">
        <f>$L$284*$K$284</f>
        <v>0</v>
      </c>
    </row>
    <row r="285" spans="2:63" s="6" customFormat="1" ht="23.25" customHeight="1">
      <c r="B285" s="22"/>
      <c r="C285" s="141"/>
      <c r="D285" s="141" t="s">
        <v>145</v>
      </c>
      <c r="E285" s="142"/>
      <c r="F285" s="221"/>
      <c r="G285" s="222"/>
      <c r="H285" s="222"/>
      <c r="I285" s="222"/>
      <c r="J285" s="143"/>
      <c r="K285" s="144"/>
      <c r="L285" s="219"/>
      <c r="M285" s="218"/>
      <c r="N285" s="220">
        <f>$BK$285</f>
        <v>0</v>
      </c>
      <c r="O285" s="218"/>
      <c r="P285" s="218"/>
      <c r="Q285" s="218"/>
      <c r="R285" s="24"/>
      <c r="T285" s="138"/>
      <c r="U285" s="145" t="s">
        <v>38</v>
      </c>
      <c r="V285" s="42"/>
      <c r="W285" s="42"/>
      <c r="X285" s="42"/>
      <c r="Y285" s="42"/>
      <c r="Z285" s="42"/>
      <c r="AA285" s="44"/>
      <c r="AT285" s="6" t="s">
        <v>294</v>
      </c>
      <c r="AU285" s="6" t="s">
        <v>17</v>
      </c>
      <c r="AY285" s="6" t="s">
        <v>294</v>
      </c>
      <c r="BE285" s="88">
        <f>IF($U$285="základní",$N$285,0)</f>
        <v>0</v>
      </c>
      <c r="BF285" s="88">
        <f>IF($U$285="snížená",$N$285,0)</f>
        <v>0</v>
      </c>
      <c r="BG285" s="88">
        <f>IF($U$285="zákl. přenesená",$N$285,0)</f>
        <v>0</v>
      </c>
      <c r="BH285" s="88">
        <f>IF($U$285="sníž. přenesená",$N$285,0)</f>
        <v>0</v>
      </c>
      <c r="BI285" s="88">
        <f>IF($U$285="nulová",$N$285,0)</f>
        <v>0</v>
      </c>
      <c r="BJ285" s="6" t="s">
        <v>17</v>
      </c>
      <c r="BK285" s="88">
        <f>$L$285*$K$285</f>
        <v>0</v>
      </c>
    </row>
    <row r="286" spans="2:18" s="6" customFormat="1" ht="7.5" customHeight="1">
      <c r="B286" s="45"/>
      <c r="C286" s="46"/>
      <c r="D286" s="46"/>
      <c r="E286" s="46"/>
      <c r="F286" s="46"/>
      <c r="G286" s="46"/>
      <c r="H286" s="46"/>
      <c r="I286" s="46"/>
      <c r="J286" s="46"/>
      <c r="K286" s="46"/>
      <c r="L286" s="46"/>
      <c r="M286" s="46"/>
      <c r="N286" s="46"/>
      <c r="O286" s="46"/>
      <c r="P286" s="46"/>
      <c r="Q286" s="46"/>
      <c r="R286" s="47"/>
    </row>
    <row r="287" s="2" customFormat="1" ht="14.25" customHeight="1"/>
  </sheetData>
  <sheetProtection password="CC35" sheet="1" objects="1" scenarios="1" formatColumns="0" formatRows="0" sort="0" autoFilter="0"/>
  <mergeCells count="388">
    <mergeCell ref="N269:Q269"/>
    <mergeCell ref="N273:Q273"/>
    <mergeCell ref="N280:Q280"/>
    <mergeCell ref="H1:K1"/>
    <mergeCell ref="S2:AC2"/>
    <mergeCell ref="N191:Q191"/>
    <mergeCell ref="N192:Q192"/>
    <mergeCell ref="N197:Q197"/>
    <mergeCell ref="N203:Q203"/>
    <mergeCell ref="N219:Q219"/>
    <mergeCell ref="N235:Q235"/>
    <mergeCell ref="N131:Q131"/>
    <mergeCell ref="N132:Q132"/>
    <mergeCell ref="N133:Q133"/>
    <mergeCell ref="N144:Q144"/>
    <mergeCell ref="N147:Q147"/>
    <mergeCell ref="N158:Q158"/>
    <mergeCell ref="F284:I284"/>
    <mergeCell ref="L284:M284"/>
    <mergeCell ref="N284:Q284"/>
    <mergeCell ref="F285:I285"/>
    <mergeCell ref="L285:M285"/>
    <mergeCell ref="N285:Q285"/>
    <mergeCell ref="L281:M281"/>
    <mergeCell ref="N281:Q281"/>
    <mergeCell ref="F282:I282"/>
    <mergeCell ref="L282:M282"/>
    <mergeCell ref="N282:Q282"/>
    <mergeCell ref="F283:I283"/>
    <mergeCell ref="L283:M283"/>
    <mergeCell ref="N283:Q283"/>
    <mergeCell ref="F275:I275"/>
    <mergeCell ref="F276:I276"/>
    <mergeCell ref="F277:I277"/>
    <mergeCell ref="F278:I278"/>
    <mergeCell ref="F279:I279"/>
    <mergeCell ref="F281:I281"/>
    <mergeCell ref="F270:I270"/>
    <mergeCell ref="L270:M270"/>
    <mergeCell ref="N270:Q270"/>
    <mergeCell ref="F271:I271"/>
    <mergeCell ref="F272:I272"/>
    <mergeCell ref="F274:I274"/>
    <mergeCell ref="L274:M274"/>
    <mergeCell ref="N274:Q274"/>
    <mergeCell ref="F265:I265"/>
    <mergeCell ref="F266:I266"/>
    <mergeCell ref="L266:M266"/>
    <mergeCell ref="N266:Q266"/>
    <mergeCell ref="F267:I267"/>
    <mergeCell ref="F268:I268"/>
    <mergeCell ref="L268:M268"/>
    <mergeCell ref="N268:Q268"/>
    <mergeCell ref="F261:I261"/>
    <mergeCell ref="F262:I262"/>
    <mergeCell ref="L262:M262"/>
    <mergeCell ref="N262:Q262"/>
    <mergeCell ref="F263:I263"/>
    <mergeCell ref="F264:I264"/>
    <mergeCell ref="F258:I258"/>
    <mergeCell ref="F259:I259"/>
    <mergeCell ref="L259:M259"/>
    <mergeCell ref="N259:Q259"/>
    <mergeCell ref="F260:I260"/>
    <mergeCell ref="L260:M260"/>
    <mergeCell ref="N260:Q260"/>
    <mergeCell ref="F254:I254"/>
    <mergeCell ref="F255:I255"/>
    <mergeCell ref="L255:M255"/>
    <mergeCell ref="N255:Q255"/>
    <mergeCell ref="F256:I256"/>
    <mergeCell ref="F257:I257"/>
    <mergeCell ref="F250:I250"/>
    <mergeCell ref="F251:I251"/>
    <mergeCell ref="L251:M251"/>
    <mergeCell ref="N251:Q251"/>
    <mergeCell ref="F252:I252"/>
    <mergeCell ref="F253:I253"/>
    <mergeCell ref="F247:I247"/>
    <mergeCell ref="L247:M247"/>
    <mergeCell ref="N247:Q247"/>
    <mergeCell ref="F249:I249"/>
    <mergeCell ref="L249:M249"/>
    <mergeCell ref="N249:Q249"/>
    <mergeCell ref="N248:Q248"/>
    <mergeCell ref="F245:I245"/>
    <mergeCell ref="L245:M245"/>
    <mergeCell ref="N245:Q245"/>
    <mergeCell ref="F246:I246"/>
    <mergeCell ref="L246:M246"/>
    <mergeCell ref="N246:Q246"/>
    <mergeCell ref="F242:I242"/>
    <mergeCell ref="F243:I243"/>
    <mergeCell ref="L243:M243"/>
    <mergeCell ref="N243:Q243"/>
    <mergeCell ref="F244:I244"/>
    <mergeCell ref="L244:M244"/>
    <mergeCell ref="N244:Q244"/>
    <mergeCell ref="F239:I239"/>
    <mergeCell ref="L239:M239"/>
    <mergeCell ref="N239:Q239"/>
    <mergeCell ref="F240:I240"/>
    <mergeCell ref="F241:I241"/>
    <mergeCell ref="L241:M241"/>
    <mergeCell ref="N241:Q241"/>
    <mergeCell ref="F236:I236"/>
    <mergeCell ref="L236:M236"/>
    <mergeCell ref="N236:Q236"/>
    <mergeCell ref="F237:I237"/>
    <mergeCell ref="F238:I238"/>
    <mergeCell ref="L238:M238"/>
    <mergeCell ref="N238:Q238"/>
    <mergeCell ref="F232:I232"/>
    <mergeCell ref="L232:M232"/>
    <mergeCell ref="N232:Q232"/>
    <mergeCell ref="F233:I233"/>
    <mergeCell ref="F234:I234"/>
    <mergeCell ref="L234:M234"/>
    <mergeCell ref="N234:Q234"/>
    <mergeCell ref="F228:I228"/>
    <mergeCell ref="F229:I229"/>
    <mergeCell ref="L229:M229"/>
    <mergeCell ref="N229:Q229"/>
    <mergeCell ref="F230:I230"/>
    <mergeCell ref="F231:I231"/>
    <mergeCell ref="L231:M231"/>
    <mergeCell ref="N231:Q231"/>
    <mergeCell ref="F225:I225"/>
    <mergeCell ref="L225:M225"/>
    <mergeCell ref="N225:Q225"/>
    <mergeCell ref="F226:I226"/>
    <mergeCell ref="F227:I227"/>
    <mergeCell ref="L227:M227"/>
    <mergeCell ref="N227:Q227"/>
    <mergeCell ref="F221:I221"/>
    <mergeCell ref="F222:I222"/>
    <mergeCell ref="L222:M222"/>
    <mergeCell ref="N222:Q222"/>
    <mergeCell ref="F223:I223"/>
    <mergeCell ref="F224:I224"/>
    <mergeCell ref="L224:M224"/>
    <mergeCell ref="N224:Q224"/>
    <mergeCell ref="F217:I217"/>
    <mergeCell ref="F218:I218"/>
    <mergeCell ref="L218:M218"/>
    <mergeCell ref="N218:Q218"/>
    <mergeCell ref="F220:I220"/>
    <mergeCell ref="L220:M220"/>
    <mergeCell ref="N220:Q220"/>
    <mergeCell ref="F214:I214"/>
    <mergeCell ref="L214:M214"/>
    <mergeCell ref="N214:Q214"/>
    <mergeCell ref="F215:I215"/>
    <mergeCell ref="F216:I216"/>
    <mergeCell ref="L216:M216"/>
    <mergeCell ref="N216:Q216"/>
    <mergeCell ref="F212:I212"/>
    <mergeCell ref="L212:M212"/>
    <mergeCell ref="N212:Q212"/>
    <mergeCell ref="F213:I213"/>
    <mergeCell ref="L213:M213"/>
    <mergeCell ref="N213:Q213"/>
    <mergeCell ref="F209:I209"/>
    <mergeCell ref="F210:I210"/>
    <mergeCell ref="L210:M210"/>
    <mergeCell ref="N210:Q210"/>
    <mergeCell ref="F211:I211"/>
    <mergeCell ref="L211:M211"/>
    <mergeCell ref="N211:Q211"/>
    <mergeCell ref="F207:I207"/>
    <mergeCell ref="L207:M207"/>
    <mergeCell ref="N207:Q207"/>
    <mergeCell ref="F208:I208"/>
    <mergeCell ref="L208:M208"/>
    <mergeCell ref="N208:Q208"/>
    <mergeCell ref="F204:I204"/>
    <mergeCell ref="L204:M204"/>
    <mergeCell ref="N204:Q204"/>
    <mergeCell ref="F205:I205"/>
    <mergeCell ref="F206:I206"/>
    <mergeCell ref="L206:M206"/>
    <mergeCell ref="N206:Q206"/>
    <mergeCell ref="F199:I199"/>
    <mergeCell ref="F200:I200"/>
    <mergeCell ref="L200:M200"/>
    <mergeCell ref="N200:Q200"/>
    <mergeCell ref="F201:I201"/>
    <mergeCell ref="F202:I202"/>
    <mergeCell ref="L202:M202"/>
    <mergeCell ref="N202:Q202"/>
    <mergeCell ref="F196:I196"/>
    <mergeCell ref="L196:M196"/>
    <mergeCell ref="N196:Q196"/>
    <mergeCell ref="F198:I198"/>
    <mergeCell ref="L198:M198"/>
    <mergeCell ref="N198:Q198"/>
    <mergeCell ref="F193:I193"/>
    <mergeCell ref="L193:M193"/>
    <mergeCell ref="N193:Q193"/>
    <mergeCell ref="F194:I194"/>
    <mergeCell ref="F195:I195"/>
    <mergeCell ref="L195:M195"/>
    <mergeCell ref="N195:Q195"/>
    <mergeCell ref="F188:I188"/>
    <mergeCell ref="L188:M188"/>
    <mergeCell ref="N188:Q188"/>
    <mergeCell ref="F189:I189"/>
    <mergeCell ref="F190:I190"/>
    <mergeCell ref="L190:M190"/>
    <mergeCell ref="N190:Q190"/>
    <mergeCell ref="F183:I183"/>
    <mergeCell ref="F184:I184"/>
    <mergeCell ref="L184:M184"/>
    <mergeCell ref="N184:Q184"/>
    <mergeCell ref="F185:I185"/>
    <mergeCell ref="F187:I187"/>
    <mergeCell ref="L187:M187"/>
    <mergeCell ref="N187:Q187"/>
    <mergeCell ref="N186:Q186"/>
    <mergeCell ref="F179:I179"/>
    <mergeCell ref="F180:I180"/>
    <mergeCell ref="L180:M180"/>
    <mergeCell ref="N180:Q180"/>
    <mergeCell ref="F181:I181"/>
    <mergeCell ref="F182:I182"/>
    <mergeCell ref="L182:M182"/>
    <mergeCell ref="N182:Q182"/>
    <mergeCell ref="F175:I175"/>
    <mergeCell ref="F176:I176"/>
    <mergeCell ref="L176:M176"/>
    <mergeCell ref="N176:Q176"/>
    <mergeCell ref="F177:I177"/>
    <mergeCell ref="F178:I178"/>
    <mergeCell ref="L178:M178"/>
    <mergeCell ref="N178:Q178"/>
    <mergeCell ref="F171:I171"/>
    <mergeCell ref="F172:I172"/>
    <mergeCell ref="L172:M172"/>
    <mergeCell ref="N172:Q172"/>
    <mergeCell ref="F173:I173"/>
    <mergeCell ref="F174:I174"/>
    <mergeCell ref="L174:M174"/>
    <mergeCell ref="N174:Q174"/>
    <mergeCell ref="F167:I167"/>
    <mergeCell ref="F168:I168"/>
    <mergeCell ref="L168:M168"/>
    <mergeCell ref="N168:Q168"/>
    <mergeCell ref="F169:I169"/>
    <mergeCell ref="F170:I170"/>
    <mergeCell ref="L170:M170"/>
    <mergeCell ref="N170:Q170"/>
    <mergeCell ref="F164:I164"/>
    <mergeCell ref="L164:M164"/>
    <mergeCell ref="N164:Q164"/>
    <mergeCell ref="F165:I165"/>
    <mergeCell ref="F166:I166"/>
    <mergeCell ref="L166:M166"/>
    <mergeCell ref="N166:Q166"/>
    <mergeCell ref="F162:I162"/>
    <mergeCell ref="L162:M162"/>
    <mergeCell ref="N162:Q162"/>
    <mergeCell ref="F163:I163"/>
    <mergeCell ref="L163:M163"/>
    <mergeCell ref="N163:Q163"/>
    <mergeCell ref="L159:M159"/>
    <mergeCell ref="N159:Q159"/>
    <mergeCell ref="F160:I160"/>
    <mergeCell ref="L160:M160"/>
    <mergeCell ref="N160:Q160"/>
    <mergeCell ref="F161:I161"/>
    <mergeCell ref="F153:I153"/>
    <mergeCell ref="F154:I154"/>
    <mergeCell ref="F155:I155"/>
    <mergeCell ref="F156:I156"/>
    <mergeCell ref="F157:I157"/>
    <mergeCell ref="F159:I159"/>
    <mergeCell ref="F149:I149"/>
    <mergeCell ref="F150:I150"/>
    <mergeCell ref="L150:M150"/>
    <mergeCell ref="N150:Q150"/>
    <mergeCell ref="F151:I151"/>
    <mergeCell ref="F152:I152"/>
    <mergeCell ref="L152:M152"/>
    <mergeCell ref="N152:Q152"/>
    <mergeCell ref="F143:I143"/>
    <mergeCell ref="F145:I145"/>
    <mergeCell ref="L145:M145"/>
    <mergeCell ref="N145:Q145"/>
    <mergeCell ref="F146:I146"/>
    <mergeCell ref="F148:I148"/>
    <mergeCell ref="L148:M148"/>
    <mergeCell ref="N148:Q148"/>
    <mergeCell ref="F140:I140"/>
    <mergeCell ref="L140:M140"/>
    <mergeCell ref="N140:Q140"/>
    <mergeCell ref="F141:I141"/>
    <mergeCell ref="F142:I142"/>
    <mergeCell ref="L142:M142"/>
    <mergeCell ref="N142:Q142"/>
    <mergeCell ref="F137:I137"/>
    <mergeCell ref="F138:I138"/>
    <mergeCell ref="L138:M138"/>
    <mergeCell ref="N138:Q138"/>
    <mergeCell ref="F139:I139"/>
    <mergeCell ref="L139:M139"/>
    <mergeCell ref="N139:Q139"/>
    <mergeCell ref="F134:I134"/>
    <mergeCell ref="L134:M134"/>
    <mergeCell ref="N134:Q134"/>
    <mergeCell ref="F135:I135"/>
    <mergeCell ref="F136:I136"/>
    <mergeCell ref="L136:M136"/>
    <mergeCell ref="N136:Q136"/>
    <mergeCell ref="F123:P123"/>
    <mergeCell ref="M125:P125"/>
    <mergeCell ref="M127:Q127"/>
    <mergeCell ref="M128:Q128"/>
    <mergeCell ref="F130:I130"/>
    <mergeCell ref="L130:M130"/>
    <mergeCell ref="N130:Q130"/>
    <mergeCell ref="D111:H111"/>
    <mergeCell ref="N111:Q111"/>
    <mergeCell ref="N112:Q112"/>
    <mergeCell ref="L114:Q114"/>
    <mergeCell ref="C120:Q120"/>
    <mergeCell ref="F122:P122"/>
    <mergeCell ref="D108:H108"/>
    <mergeCell ref="N108:Q108"/>
    <mergeCell ref="D109:H109"/>
    <mergeCell ref="N109:Q109"/>
    <mergeCell ref="D110:H110"/>
    <mergeCell ref="N110:Q110"/>
    <mergeCell ref="N101:Q101"/>
    <mergeCell ref="N102:Q102"/>
    <mergeCell ref="N103:Q103"/>
    <mergeCell ref="N104:Q104"/>
    <mergeCell ref="N106:Q106"/>
    <mergeCell ref="D107:H107"/>
    <mergeCell ref="N107:Q107"/>
    <mergeCell ref="N95:Q95"/>
    <mergeCell ref="N96:Q96"/>
    <mergeCell ref="N97:Q97"/>
    <mergeCell ref="N98:Q98"/>
    <mergeCell ref="N99:Q99"/>
    <mergeCell ref="N100:Q100"/>
    <mergeCell ref="N89:Q89"/>
    <mergeCell ref="N90:Q90"/>
    <mergeCell ref="N91:Q91"/>
    <mergeCell ref="N92:Q92"/>
    <mergeCell ref="N93:Q93"/>
    <mergeCell ref="N94:Q94"/>
    <mergeCell ref="M81:P81"/>
    <mergeCell ref="M83:Q83"/>
    <mergeCell ref="M84:Q84"/>
    <mergeCell ref="C86:G86"/>
    <mergeCell ref="N86:Q86"/>
    <mergeCell ref="N88:Q88"/>
    <mergeCell ref="H33:J33"/>
    <mergeCell ref="M33:P33"/>
    <mergeCell ref="L35:P35"/>
    <mergeCell ref="C76:Q76"/>
    <mergeCell ref="F78:P78"/>
    <mergeCell ref="F79:P79"/>
    <mergeCell ref="H30:J30"/>
    <mergeCell ref="M30:P30"/>
    <mergeCell ref="H31:J31"/>
    <mergeCell ref="M31:P31"/>
    <mergeCell ref="H32:J32"/>
    <mergeCell ref="M32:P32"/>
    <mergeCell ref="O20:P20"/>
    <mergeCell ref="O21:P21"/>
    <mergeCell ref="M24:P24"/>
    <mergeCell ref="M25:P25"/>
    <mergeCell ref="M27:P27"/>
    <mergeCell ref="H29:J29"/>
    <mergeCell ref="M29:P29"/>
    <mergeCell ref="O12:P12"/>
    <mergeCell ref="O14:P14"/>
    <mergeCell ref="E15:L15"/>
    <mergeCell ref="O15:P15"/>
    <mergeCell ref="O17:P17"/>
    <mergeCell ref="O18:P18"/>
    <mergeCell ref="C2:Q2"/>
    <mergeCell ref="C4:Q4"/>
    <mergeCell ref="F6:P6"/>
    <mergeCell ref="F7:P7"/>
    <mergeCell ref="O9:P9"/>
    <mergeCell ref="O11:P11"/>
  </mergeCells>
  <dataValidations count="2">
    <dataValidation type="list" allowBlank="1" showInputMessage="1" showErrorMessage="1" error="Povoleny jsou hodnoty K a M." sqref="D281:D286">
      <formula1>"K,M"</formula1>
    </dataValidation>
    <dataValidation type="list" allowBlank="1" showInputMessage="1" showErrorMessage="1" error="Povoleny jsou hodnoty základní, snížená, zákl. přenesená, sníž. přenesená, nulová." sqref="U281:U286">
      <formula1>"základní,snížená,zákl. přenesená,sníž. přenesená,nulová"</formula1>
    </dataValidation>
  </dataValidations>
  <hyperlinks>
    <hyperlink ref="F1:G1" location="C2" tooltip="Krycí list rozpočtu" display="1) Krycí list rozpočtu"/>
    <hyperlink ref="H1:K1" location="C86" tooltip="Rekapitulace rozpočtu" display="2) Rekapitulace rozpočtu"/>
    <hyperlink ref="L1" location="C130" tooltip="Rozpočet" display="3) Rozpočet"/>
    <hyperlink ref="S1:T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95" r:id="rId2"/>
  <headerFooter alignWithMargins="0"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Jiří Hrabák</cp:lastModifiedBy>
  <dcterms:modified xsi:type="dcterms:W3CDTF">2015-11-13T11:58:59Z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