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90" windowHeight="8430" activeTab="2"/>
  </bookViews>
  <sheets>
    <sheet name="REKAPITULACE" sheetId="1" r:id="rId1"/>
    <sheet name="DK - přípojky" sheetId="2" r:id="rId2"/>
    <sheet name="DK - stoky" sheetId="3" r:id="rId3"/>
    <sheet name="SK" sheetId="4" r:id="rId4"/>
    <sheet name="VP" sheetId="5" r:id="rId5"/>
  </sheets>
  <definedNames>
    <definedName name="__CENA__" localSheetId="1">'DK - přípojky'!$P$6:$P$67</definedName>
    <definedName name="__CENA__" localSheetId="3">'SK'!$P$6:$P$81</definedName>
    <definedName name="__CENA__" localSheetId="4">'VP'!$P$6:$P$93</definedName>
    <definedName name="__CENA__">'DK - stoky'!$P$6:$P$72</definedName>
    <definedName name="__MAIN__" localSheetId="1">'DK - přípojky'!$F$1:$DE$67</definedName>
    <definedName name="__MAIN__" localSheetId="3">'SK'!$F$1:$DE$81</definedName>
    <definedName name="__MAIN__" localSheetId="4">'VP'!$F$1:$DE$93</definedName>
    <definedName name="__MAIN__">'DK - stoky'!$F$1:$DE$72</definedName>
    <definedName name="__MAIN2__">#REF!</definedName>
    <definedName name="__MAIN3__">#REF!</definedName>
    <definedName name="__SAZBA__" localSheetId="1">'DK - přípojky'!$U$6:$U$67</definedName>
    <definedName name="__SAZBA__" localSheetId="3">'SK'!$U$6:$U$81</definedName>
    <definedName name="__SAZBA__" localSheetId="4">'VP'!$U$6:$U$93</definedName>
    <definedName name="__SAZBA__">'DK - stoky'!$U$6:$U$72</definedName>
    <definedName name="__T0__" localSheetId="1">'DK - přípojky'!$F$5:$AC$67</definedName>
    <definedName name="__T0__" localSheetId="3">'SK'!$F$5:$AC$81</definedName>
    <definedName name="__T0__" localSheetId="4">'VP'!$F$5:$AC$93</definedName>
    <definedName name="__T0__">'DK - stoky'!$F$5:$AC$72</definedName>
    <definedName name="__T1__" localSheetId="1">'DK - přípojky'!$F$6:$AC$21</definedName>
    <definedName name="__T1__" localSheetId="3">'SK'!$F$6:$AC$28</definedName>
    <definedName name="__T1__" localSheetId="4">'VP'!$F$6:$AC$28</definedName>
    <definedName name="__T1__">'DK - stoky'!$F$6:$AC$28</definedName>
    <definedName name="__T2__" localSheetId="1">'DK - přípojky'!#REF!</definedName>
    <definedName name="__T2__" localSheetId="3">'SK'!#REF!</definedName>
    <definedName name="__T2__" localSheetId="4">'VP'!#REF!</definedName>
    <definedName name="__T2__">'DK - stoky'!#REF!</definedName>
    <definedName name="__T3__" localSheetId="1">'DK - přípojky'!#REF!</definedName>
    <definedName name="__T3__" localSheetId="3">'SK'!#REF!</definedName>
    <definedName name="__T3__" localSheetId="4">'VP'!#REF!</definedName>
    <definedName name="__T3__">'DK - stoky'!#REF!</definedName>
    <definedName name="__TE0__">#REF!</definedName>
    <definedName name="__TE1__" localSheetId="1">#REF!</definedName>
    <definedName name="__TE1__">#REF!</definedName>
    <definedName name="__TE2__">#REF!</definedName>
    <definedName name="__TR0__">#REF!</definedName>
    <definedName name="__TR1__">#REF!</definedName>
    <definedName name="_xlnm.Print_Titles" localSheetId="1">'DK - přípojky'!$3:$4</definedName>
    <definedName name="_xlnm.Print_Titles" localSheetId="2">'DK - stoky'!$3:$4</definedName>
    <definedName name="_xlnm.Print_Titles" localSheetId="3">'SK'!$3:$4</definedName>
    <definedName name="_xlnm.Print_Titles" localSheetId="4">'VP'!$3:$4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<sst xmlns="http://schemas.openxmlformats.org/spreadsheetml/2006/main" count="1280" uniqueCount="267">
  <si>
    <t>H</t>
  </si>
  <si>
    <t>_</t>
  </si>
  <si>
    <t>m</t>
  </si>
  <si>
    <t>t</t>
  </si>
  <si>
    <t>MJ</t>
  </si>
  <si>
    <t>SP</t>
  </si>
  <si>
    <t>m2</t>
  </si>
  <si>
    <t>m3</t>
  </si>
  <si>
    <t>001</t>
  </si>
  <si>
    <t>002</t>
  </si>
  <si>
    <t>004</t>
  </si>
  <si>
    <t>099</t>
  </si>
  <si>
    <t>DPH</t>
  </si>
  <si>
    <t>Kód</t>
  </si>
  <si>
    <t>Typ</t>
  </si>
  <si>
    <t>kus</t>
  </si>
  <si>
    <t>Cena</t>
  </si>
  <si>
    <t>001.1</t>
  </si>
  <si>
    <t>008.1</t>
  </si>
  <si>
    <t>Oddíl</t>
  </si>
  <si>
    <t>Popis</t>
  </si>
  <si>
    <t>SO_01</t>
  </si>
  <si>
    <t>Suť</t>
  </si>
  <si>
    <t>Objekt</t>
  </si>
  <si>
    <t>X82080</t>
  </si>
  <si>
    <t>Ztratné</t>
  </si>
  <si>
    <t>Poř.</t>
  </si>
  <si>
    <t>58331200</t>
  </si>
  <si>
    <t>58337306</t>
  </si>
  <si>
    <t>Hmotnost</t>
  </si>
  <si>
    <t>120001101</t>
  </si>
  <si>
    <t>131201101</t>
  </si>
  <si>
    <t>131201109</t>
  </si>
  <si>
    <t>132201202</t>
  </si>
  <si>
    <t>132201209</t>
  </si>
  <si>
    <t>151101102</t>
  </si>
  <si>
    <t>151101112</t>
  </si>
  <si>
    <t>161101102</t>
  </si>
  <si>
    <t>162201102</t>
  </si>
  <si>
    <t>162501102</t>
  </si>
  <si>
    <t>167101102</t>
  </si>
  <si>
    <t>171201201</t>
  </si>
  <si>
    <t>171201211</t>
  </si>
  <si>
    <t>174101101</t>
  </si>
  <si>
    <t>175101101</t>
  </si>
  <si>
    <t>181101102</t>
  </si>
  <si>
    <t>212752212</t>
  </si>
  <si>
    <t>451573111</t>
  </si>
  <si>
    <t>998276101</t>
  </si>
  <si>
    <t>Sazba DPH</t>
  </si>
  <si>
    <t>Alter. kód</t>
  </si>
  <si>
    <t>Cena s DPH</t>
  </si>
  <si>
    <t>Jedn. cena</t>
  </si>
  <si>
    <t>Výměra</t>
  </si>
  <si>
    <t>002: Základy</t>
  </si>
  <si>
    <t>Jedn. hmotn.</t>
  </si>
  <si>
    <t>Komentář</t>
  </si>
  <si>
    <t>001: Zemní práce</t>
  </si>
  <si>
    <t>Jedn. suť</t>
  </si>
  <si>
    <t>008: Trubní vedení</t>
  </si>
  <si>
    <t>004: Vodorovné konstrukce</t>
  </si>
  <si>
    <t>008.1: Specifikace materiálu</t>
  </si>
  <si>
    <t>Výměra bez ztr.</t>
  </si>
  <si>
    <t>099: Přesun hmot HSV</t>
  </si>
  <si>
    <t>Uložení sypaniny na skládky</t>
  </si>
  <si>
    <t>Štěrkopísek frakce 0-8 třída B</t>
  </si>
  <si>
    <t>štěrkopísek netříděný zásypový</t>
  </si>
  <si>
    <t>001.1: Zemní práce - výměna zeminy 50%</t>
  </si>
  <si>
    <t>Lože pod potrubí otevřený výkop ze štěrkopísku</t>
  </si>
  <si>
    <t>Nakládání výkopku z hornin tř. 1 až 4 přes 100 m3</t>
  </si>
  <si>
    <t>Zřízení příložného pažení a rozepření stěn rýh hl do 4 m</t>
  </si>
  <si>
    <t>Úprava pláně v zářezech v hornině tř. 1 až 4 se zhutněním</t>
  </si>
  <si>
    <t>Hloubení jam nezapažených v hornině tř. 3 objemu do 100 m3</t>
  </si>
  <si>
    <t>Hloubení rýh š do 2000 mm v hornině tř. 3 objemu do 1000 m3</t>
  </si>
  <si>
    <t>Odstranění příložného pažení a rozepření stěn rýh hl do 4 m</t>
  </si>
  <si>
    <t>Svislé přemístění výkopku z horniny tř. 1 až 4 hl výkopu do 4 m</t>
  </si>
  <si>
    <t>Zásyp jam, šachet rýh nebo kolem objektů sypaninou se zhutněním</t>
  </si>
  <si>
    <t>Příplatek za lepivost k hloubení rýh š do 2000 mm v hornině tř. 3</t>
  </si>
  <si>
    <t>Příplatek za lepivost u hloubení jam nezapažených v hornině tř. 3</t>
  </si>
  <si>
    <t>Vodorovné přemístění do 50 m výkopku/sypaniny z horniny tř. 1 až 4</t>
  </si>
  <si>
    <t>Poplatek za uložení stavebního odpadu - zeminy a kameniva na skládce</t>
  </si>
  <si>
    <t>Vodorovné přemístění do 3000 m výkopku/sypaniny z horniny tř. 1 až 4</t>
  </si>
  <si>
    <t>Přesun hmot pro trubní vedení z trub z plastických hmot otevřený výkop</t>
  </si>
  <si>
    <t>Obsypání potrubí bez prohození sypaniny z hornin tř. 1 až 4 uloženým do 3 m od kraje výkopu</t>
  </si>
  <si>
    <t>Trativod z drenážních trubek plastových flexibilních D do 100 mm včetně lože otevřený výkop</t>
  </si>
  <si>
    <t>28613687</t>
  </si>
  <si>
    <t>28614937</t>
  </si>
  <si>
    <t>Příplatek za ztížení odkopávky nebo prokopávky v blízkosti inženýrských sítí</t>
  </si>
  <si>
    <t>00572410</t>
  </si>
  <si>
    <t>Osivo směs travní parková</t>
  </si>
  <si>
    <t>kg</t>
  </si>
  <si>
    <t>121101103</t>
  </si>
  <si>
    <t>181301103</t>
  </si>
  <si>
    <t>Rozprostření ornice tl vrstvy do 200 mm pl do 500 m2 v rovině nebo ve svahu do 1:5</t>
  </si>
  <si>
    <t>Založení parkového trávníku výsevem plochy do 1000 m2 v rovině a ve svahu do 1:5</t>
  </si>
  <si>
    <t>181411131</t>
  </si>
  <si>
    <t>Výstražná folie - kanalizace</t>
  </si>
  <si>
    <t>892421111</t>
  </si>
  <si>
    <t>899104111</t>
  </si>
  <si>
    <t>Osazení poklopů litinových nebo ocelových včetně rámů hmotnosti nad 150 kg</t>
  </si>
  <si>
    <t>X36292</t>
  </si>
  <si>
    <t>poklop šachtový třída D 400, kruhový rám 785, vstup 600 mm, bez ventilace</t>
  </si>
  <si>
    <t>Prefabrikovaná betonová skruž. šachta D=1000mm, h=1000mm</t>
  </si>
  <si>
    <t>Prefabrikovaná betonová skruž. šachta D=1000mm, h=250mm</t>
  </si>
  <si>
    <t>Prefabrikované betonové vyrovnávací prstence</t>
  </si>
  <si>
    <t>Sejmutí ornice s přemístěním na vzdálenost do 100 m</t>
  </si>
  <si>
    <t>Zkouška vodotěsnosti stok do DN 300</t>
  </si>
  <si>
    <t>DEŠŤOVÁ KANALIZACE - STOKY</t>
  </si>
  <si>
    <t>Montáž potrubí z PP korug. DN 300 SN10, výkop sklon do 20%</t>
  </si>
  <si>
    <t>Montáž potrubí z PP korug. DN 200 SN10, výkop sklon do 20%</t>
  </si>
  <si>
    <t>Montáž potrubí z PP korug. DN 250 SN10, výkop sklon do 20%</t>
  </si>
  <si>
    <t>Kamerová prohlídka potrubí do DN 300</t>
  </si>
  <si>
    <t>Zřízení šachet kanalizačních z plastového potrubí na potrubí DN 200</t>
  </si>
  <si>
    <t>Úprava stávajících RŠ</t>
  </si>
  <si>
    <t>Potrubí kanalizační PP korug. DN 250, SN10</t>
  </si>
  <si>
    <t>Potrubí kanalizační Ppkorug. DN 200, SN10</t>
  </si>
  <si>
    <t>Potrubí kanalizační PP korug. DN 300, SN10</t>
  </si>
  <si>
    <t>poklop šachtový třída B125, plast.šachta, bez ventilace</t>
  </si>
  <si>
    <t>Prefabrikované šahtové dno D1000/600</t>
  </si>
  <si>
    <t>Prefabrikovaná betonová skruž. šachta D=1000mm, h=500mm</t>
  </si>
  <si>
    <t>Prefabrikovaná betonová zákryt. Deska 1000/600</t>
  </si>
  <si>
    <t>Prefabrikovaný betonový šachtový kónus 1000/600</t>
  </si>
  <si>
    <t>Plastová šachta D=600mm</t>
  </si>
  <si>
    <t>DEŠŤOVÁ KANALIZACE - PŘÍPOJKY</t>
  </si>
  <si>
    <t>Zřízení uličních vpustí</t>
  </si>
  <si>
    <t>Zřízení horských vpustí</t>
  </si>
  <si>
    <t>Osazení rámů litinových nebo ocelových včetně rámů hmotnosti nad 150 kg</t>
  </si>
  <si>
    <t>Zřízení odvodňovacích žlábků</t>
  </si>
  <si>
    <t>Zřízení štěrbinových žlabů</t>
  </si>
  <si>
    <t>rám uliční/horské vpusti třída D 400</t>
  </si>
  <si>
    <t>Uliční vpusť se sorpčním košem</t>
  </si>
  <si>
    <t>Horská vpusť</t>
  </si>
  <si>
    <t>odvodňovací žlab š=100mm, l=19,5m</t>
  </si>
  <si>
    <t>odvodňovací žlab š=100mm, l=2,0m</t>
  </si>
  <si>
    <t>odvodňovací žlab š=100mm, l=7,0m</t>
  </si>
  <si>
    <t>odvodňovací žlab š=100mm, l=5,0m</t>
  </si>
  <si>
    <t>odvodňovací žlab š=100mm, l=16,0m</t>
  </si>
  <si>
    <t>odvodňovací žlab š=100mm, l=29,5m</t>
  </si>
  <si>
    <t>odvodňovací žlab š=100mm, l=10,5m</t>
  </si>
  <si>
    <t>odvodňovací žlab š=100mm, l=18,5m</t>
  </si>
  <si>
    <t>odvodňovací žlab š=100mm, l=12,5m</t>
  </si>
  <si>
    <t>štěrbinový žlab, dl. 6,0m</t>
  </si>
  <si>
    <t>REKAPITULACE - venkovní kanalizace a vodovod</t>
  </si>
  <si>
    <t>Dešťová kanalizace - přípojky</t>
  </si>
  <si>
    <t>Dešťová kanalizace - stoky</t>
  </si>
  <si>
    <t>PŘÍPOJKA SPLAŠKOVÉ KANALIZACE</t>
  </si>
  <si>
    <t>Identifikační vodič</t>
  </si>
  <si>
    <t>857262121</t>
  </si>
  <si>
    <t>Montáž litinových tvarovek přírubových v šachtě DN 65</t>
  </si>
  <si>
    <t>008</t>
  </si>
  <si>
    <t>871251211</t>
  </si>
  <si>
    <t>Montáž potrubí z PE100 SDR 11 otevřený výkop svařovaných elektrotvarovkou D75 SDR11 mm, vč. elektrospojek</t>
  </si>
  <si>
    <t>Montáž potrubí z PVC DN 300 SN8, výkop sklon do 20%</t>
  </si>
  <si>
    <t>Montáž potrubí z PVC DN 250 SN8, výkop sklon do 20%</t>
  </si>
  <si>
    <t>892271111</t>
  </si>
  <si>
    <t>Tlaková zkouška vodou potrubí DN 90</t>
  </si>
  <si>
    <t>Kamerová prohlídka potrubí DN 300</t>
  </si>
  <si>
    <t>892372111</t>
  </si>
  <si>
    <t>Zabezpečení konců potrubí DN do 300 při tlakových zkouškách vodou</t>
  </si>
  <si>
    <t>X36291</t>
  </si>
  <si>
    <t>Odstranění stávající kanalizace KT DN 200</t>
  </si>
  <si>
    <t>Odstranění stávajících RŠ</t>
  </si>
  <si>
    <t>Potrubí kanalizační PVC DN 250, SN8</t>
  </si>
  <si>
    <t>Potrubí kanalizační PVC DN 300, SN8</t>
  </si>
  <si>
    <t>Potrubí kanalizační tlakové PE100 SDR 11 d75mm</t>
  </si>
  <si>
    <t>47.</t>
  </si>
  <si>
    <t>48.</t>
  </si>
  <si>
    <t>49.</t>
  </si>
  <si>
    <t>009: Ostatní konstrukce a práce</t>
  </si>
  <si>
    <t>bourání stávající revizní šachty, vč. odstranění odkrytého stáv. kanalizačního potrubí</t>
  </si>
  <si>
    <t>009</t>
  </si>
  <si>
    <t>979099145</t>
  </si>
  <si>
    <t>Poplatek za uložení odpadu (šachta) na skládce (skládkovné)</t>
  </si>
  <si>
    <t>997002511</t>
  </si>
  <si>
    <t>Vodorovné přemístění suti a vybouraných hmot bez naložení ale se složením a urovnáním do 1 km</t>
  </si>
  <si>
    <t>997002519</t>
  </si>
  <si>
    <t>Příplatek ZKD 1 km přemístění suti a vybouraných hmot</t>
  </si>
  <si>
    <t>997002611</t>
  </si>
  <si>
    <t>Nakládání suti a vybouraných hmot</t>
  </si>
  <si>
    <t>Splašková kanalizace</t>
  </si>
  <si>
    <t>VODOVODNÍ PŘÍPOJKA</t>
  </si>
  <si>
    <t>Sejmutí ornice s přemístěním na vzdálenost do 250 m</t>
  </si>
  <si>
    <t>Identifikační vodič, vč. zkoušky funkčnosti</t>
  </si>
  <si>
    <t>Výstražná folie - voda</t>
  </si>
  <si>
    <t>Montáž litinových tvarovek přírubových otevřený výkop DN 80</t>
  </si>
  <si>
    <t>ks</t>
  </si>
  <si>
    <t>Montáž potrubí z PE100 SDR 11 otevřený výkop svařovaných elektrotvarovkou D 90 SDR11 mm, vč. elektrospojek</t>
  </si>
  <si>
    <t>877261101</t>
  </si>
  <si>
    <t>Montáž elektrospojek na potrubí z PE trub d 90</t>
  </si>
  <si>
    <t>Montáž elektrokolen 30° na potrubí z PE trub d 90</t>
  </si>
  <si>
    <t>877261110</t>
  </si>
  <si>
    <t>Montáž elektrokolen 45° na potrubí z PE trub d 90</t>
  </si>
  <si>
    <t>877261112</t>
  </si>
  <si>
    <t>Montáž elektrokolen 90° na potrubí z PE trub d 90</t>
  </si>
  <si>
    <t>891261111</t>
  </si>
  <si>
    <t>Montáž vodovodních šoupátek otevřený výkop DN 80, vč. zemní soupravy</t>
  </si>
  <si>
    <t>Tlaková zkouška vodou potrubí DN 80</t>
  </si>
  <si>
    <t>892273111</t>
  </si>
  <si>
    <t>Proplach a desinfekce vodovodního potrubí DN od 80 do 125</t>
  </si>
  <si>
    <t>899401112</t>
  </si>
  <si>
    <t>Osazení poklopů litinových šoupátkových</t>
  </si>
  <si>
    <t>Osazení poklopů litinových hydrantových</t>
  </si>
  <si>
    <t>Montáž podzemního hydrantu DN 80 otevřený výkop</t>
  </si>
  <si>
    <t>Montáž nadzemního hydrantu DN 80 otevřený výkop</t>
  </si>
  <si>
    <t>Osazení trasírovací tyče, vč. tyče a skruže</t>
  </si>
  <si>
    <t>Montáž spojky typ. Synoflex s přírubou DN80</t>
  </si>
  <si>
    <t>Osazení vodoměrné šachty, vč. poklopu a montáž vodoměrné sestavy</t>
  </si>
  <si>
    <t>X97281</t>
  </si>
  <si>
    <t>Montáž orientační tabulky</t>
  </si>
  <si>
    <t>Potrubí vodovodní tlakové PE100 SDR 11 d90mm</t>
  </si>
  <si>
    <t>Elektrokoleno 90°, PE 100, PN 16, d 90</t>
  </si>
  <si>
    <t>28614949</t>
  </si>
  <si>
    <t>Elektrokoleno 45°, PE 100, PN 16, d 90</t>
  </si>
  <si>
    <t>Elektrokoleno 30°, PE 100, PN 16, d 90</t>
  </si>
  <si>
    <t>28653599</t>
  </si>
  <si>
    <t>Nákružek tlakový lemový IPE D 90 mm</t>
  </si>
  <si>
    <t>28654368a</t>
  </si>
  <si>
    <t>Příruba volná k lemovému nákružku z PP d 110</t>
  </si>
  <si>
    <t>42221213</t>
  </si>
  <si>
    <t>Šoupě přírubové vovodovodní DN80 PN10-16</t>
  </si>
  <si>
    <t>42291062</t>
  </si>
  <si>
    <t xml:space="preserve">Souprava zemní teleskopická pro šoupátka DN 80 mm, </t>
  </si>
  <si>
    <t>42291352</t>
  </si>
  <si>
    <t>Poklop litinový typ 504-šoupátkový</t>
  </si>
  <si>
    <t>55250513</t>
  </si>
  <si>
    <t>Odbočka přírubová T tvárná litina DN 100/100 mm</t>
  </si>
  <si>
    <t>X97308</t>
  </si>
  <si>
    <t>Deska podkladová VARIO</t>
  </si>
  <si>
    <t>X97313</t>
  </si>
  <si>
    <t>Orientační tabulka</t>
  </si>
  <si>
    <t>Hydrant nadzemní DN 80</t>
  </si>
  <si>
    <t>Hydrant podzemní DN 80, vč.poklopu</t>
  </si>
  <si>
    <t>TP dl. min. 400mm, DN80</t>
  </si>
  <si>
    <t>Trasírovací tyč, vč. skruže</t>
  </si>
  <si>
    <t>Patkové koleno DN 80</t>
  </si>
  <si>
    <t>betonová vodoměrná šachta, vč. poklopu, dopravy a vodoměrné sestavy</t>
  </si>
  <si>
    <t>bourání stávající vodoměrné šachty, vč. odstranění odkrytého stáv. vodovodního potrubí</t>
  </si>
  <si>
    <t>Poplatek za uložení odpadu (vodoměrná šachta) na skládce (skládkovné)</t>
  </si>
  <si>
    <t>Vodovodní přípojka</t>
  </si>
  <si>
    <t>Cena CELKEM bez DPH</t>
  </si>
  <si>
    <t>DPH 21,00 %</t>
  </si>
  <si>
    <t>Cena CELKEM včetně DPH</t>
  </si>
  <si>
    <t>894414111</t>
  </si>
  <si>
    <t>Osazení betonových nebo železobetonových dílců pro šachty skruží základových (dno)</t>
  </si>
  <si>
    <t>894411311</t>
  </si>
  <si>
    <t>Osazení betonových nebo železobetonových dílců pro šachty skruží rovných</t>
  </si>
  <si>
    <t>894412411</t>
  </si>
  <si>
    <t>Osazení betonových nebo železobetonových dílců pro šachty skruží přechodových</t>
  </si>
  <si>
    <t>894414211</t>
  </si>
  <si>
    <t>Osazení betonových nebo železobetonových dílců pro šachty desek zákrytových</t>
  </si>
  <si>
    <t>37.</t>
  </si>
  <si>
    <t>pozn.</t>
  </si>
  <si>
    <t>Výkaz uvažuje s koordinací stavby - výkopy jsou uvažovány k původnímu terénu, zasypy k původnímu terénu, v případě vedení potrubí nas původním terénem bude potrubí zasypáno cca 70cm nad vrch potrubí</t>
  </si>
  <si>
    <t>Prefabrikované šahtové dno D=1500mm, h=1920mm, obložené čedičem; vč. těsnění</t>
  </si>
  <si>
    <t>Prefabrikované šahtové dno D=1000mm, h=700mm; vč. těsnění</t>
  </si>
  <si>
    <t>Prefabrikovaná betonová skruž. šachta D=1000mm, h=1000mm, vč. těsnění</t>
  </si>
  <si>
    <t>Prefabrikovaná betonová skruž. šachta D=1000mm, h=300mm (kaps.stupadlo), vč. těsnění</t>
  </si>
  <si>
    <t>Prefabrikovaná betonová skruž. šachta D=1000mm, h=250mm, vč. těsnění</t>
  </si>
  <si>
    <t>Prefabrikovaná betonová zákryt. deska 1000/600; vč. těsnění</t>
  </si>
  <si>
    <t>Prefabrikovaná betonová zákryt. deska 1650/600; vč. těsnění</t>
  </si>
  <si>
    <t>Výkaz uvažuje s koordinací stavby - výkopy jsou uvažovány k upravené pláni terénu (finální výška bez konstrukce vozovky)</t>
  </si>
  <si>
    <t>Potrubí kanalizační Ppkorug. DN 200, SN10; vč. tvarovek</t>
  </si>
  <si>
    <t>Potrubí kanalizační PP korug. DN 150, SN10; vč. tvarovek</t>
  </si>
  <si>
    <t>Montáž potrubí z PP korug. DN 150 SN10, výkop sklon do 40%, vč. tvarovek</t>
  </si>
  <si>
    <t>Montáž potrubí z PP korug. DN 200 SN10, výkop sklon do 40%; vč. tvarovek</t>
  </si>
  <si>
    <t>Montáž potrubí z PP korug. DN 150 SN10, spádový stupeň; vč. tvarovek</t>
  </si>
  <si>
    <t>Montáž potrubí z PP korug. DN 200 SN10, spádový stupeň; vč. tvarovek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</si>
</sst>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#,##0&quot;.&quot;_);;;_(@_)"/>
    <numFmt numFmtId="167" formatCode="_(#,##0.0??;\-\ #,##0.0??;&quot;–&quot;???;_(@_)"/>
    <numFmt numFmtId="168" formatCode="_(#,##0.00_);[Red]\-\ #,##0.00_);&quot;–&quot;??;_(@_)"/>
    <numFmt numFmtId="169" formatCode="_(#,##0_);[Red]\-\ #,##0_);&quot;–&quot;??;_(@_)"/>
    <numFmt numFmtId="170" formatCode="_(#,##0.00000_);[Red]\-\ #,##0.00000_);&quot;–&quot;??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[$-405]d\.\ mmmm\ yyyy"/>
    <numFmt numFmtId="176" formatCode="_(#,##0_);[Red]\-\ #,##0\);&quot;–&quot;??;_(@_)"/>
    <numFmt numFmtId="177" formatCode="_(#,##0\);[Red]\-\ #,##0\);&quot;–&quot;??;_(@_)"/>
    <numFmt numFmtId="178" formatCode="_(#,##0.0_);[Red]\-\ #,##0.0_);&quot;–&quot;??;_(@_)"/>
    <numFmt numFmtId="179" formatCode="#"/>
    <numFmt numFmtId="180" formatCode="_(#,##0.0???;\-\ #,##0.0???;&quot;–&quot;???;_(@_)"/>
    <numFmt numFmtId="181" formatCode="_(#,##0.0?;\-\ #,##0.0?;&quot;–&quot;???;_(@_)"/>
    <numFmt numFmtId="182" formatCode="#,##0.000_ ;\-#,##0.000\ "/>
    <numFmt numFmtId="183" formatCode="#,##0.00_ ;\-#,##0.00\ "/>
    <numFmt numFmtId="184" formatCode="_-* #,##0.0\ &quot;Kč&quot;_-;\-* #,##0.0\ &quot;Kč&quot;_-;_-* &quot;-&quot;??\ &quot;Kč&quot;_-;_-@_-"/>
    <numFmt numFmtId="185" formatCode="_-* #,##0\ &quot;Kč&quot;_-;\-* #,##0\ &quot;Kč&quot;_-;_-* &quot;-&quot;??\ &quot;Kč&quot;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9"/>
      <color indexed="18"/>
      <name val="Arial"/>
      <family val="2"/>
    </font>
    <font>
      <sz val="10"/>
      <color indexed="8"/>
      <name val="Arial CE"/>
      <family val="2"/>
    </font>
    <font>
      <b/>
      <sz val="12"/>
      <color indexed="25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61"/>
      <name val="Arial"/>
      <family val="2"/>
    </font>
    <font>
      <sz val="9"/>
      <name val="Arial"/>
      <family val="2"/>
    </font>
    <font>
      <sz val="9"/>
      <color indexed="8"/>
      <name val="Arial CE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"/>
      <color indexed="9"/>
      <name val="Calibri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"/>
      <color theme="0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67" fontId="3" fillId="0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9" fillId="0" borderId="10" xfId="0" applyNumberFormat="1" applyFont="1" applyFill="1" applyBorder="1" applyAlignment="1">
      <alignment horizontal="right" vertical="top"/>
    </xf>
    <xf numFmtId="167" fontId="50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78" fontId="5" fillId="0" borderId="10" xfId="0" applyNumberFormat="1" applyFont="1" applyFill="1" applyBorder="1" applyAlignment="1">
      <alignment horizontal="right" vertical="top"/>
    </xf>
    <xf numFmtId="168" fontId="5" fillId="0" borderId="10" xfId="0" applyNumberFormat="1" applyFont="1" applyFill="1" applyBorder="1" applyAlignment="1">
      <alignment horizontal="right" vertical="top"/>
    </xf>
    <xf numFmtId="168" fontId="50" fillId="0" borderId="0" xfId="0" applyNumberFormat="1" applyFont="1" applyFill="1" applyAlignment="1">
      <alignment horizontal="center" vertical="center"/>
    </xf>
    <xf numFmtId="169" fontId="5" fillId="0" borderId="10" xfId="0" applyNumberFormat="1" applyFont="1" applyFill="1" applyBorder="1" applyAlignment="1">
      <alignment horizontal="right" vertical="top"/>
    </xf>
    <xf numFmtId="168" fontId="1" fillId="0" borderId="0" xfId="0" applyNumberFormat="1" applyFont="1" applyFill="1" applyAlignment="1">
      <alignment horizontal="right" vertical="top"/>
    </xf>
    <xf numFmtId="166" fontId="5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left" vertical="top" wrapText="1"/>
    </xf>
    <xf numFmtId="170" fontId="5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9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/>
    </xf>
    <xf numFmtId="179" fontId="5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69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169" fontId="7" fillId="0" borderId="0" xfId="0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78" fontId="7" fillId="0" borderId="0" xfId="0" applyNumberFormat="1" applyFont="1" applyFill="1" applyAlignment="1">
      <alignment/>
    </xf>
    <xf numFmtId="179" fontId="52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181" fontId="9" fillId="0" borderId="10" xfId="0" applyNumberFormat="1" applyFont="1" applyFill="1" applyBorder="1" applyAlignment="1">
      <alignment horizontal="right" vertical="top"/>
    </xf>
    <xf numFmtId="166" fontId="50" fillId="0" borderId="0" xfId="0" applyNumberFormat="1" applyFont="1" applyFill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 wrapText="1"/>
    </xf>
    <xf numFmtId="169" fontId="50" fillId="0" borderId="0" xfId="0" applyNumberFormat="1" applyFont="1" applyFill="1" applyAlignment="1">
      <alignment horizontal="center" vertical="center"/>
    </xf>
    <xf numFmtId="170" fontId="50" fillId="0" borderId="0" xfId="0" applyNumberFormat="1" applyFont="1" applyFill="1" applyAlignment="1">
      <alignment horizontal="center" vertical="center"/>
    </xf>
    <xf numFmtId="179" fontId="50" fillId="0" borderId="0" xfId="0" applyNumberFormat="1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66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horizontal="left" vertical="top"/>
    </xf>
    <xf numFmtId="169" fontId="1" fillId="0" borderId="0" xfId="0" applyNumberFormat="1" applyFont="1" applyFill="1" applyAlignment="1">
      <alignment horizontal="right" vertical="top"/>
    </xf>
    <xf numFmtId="170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vertical="center"/>
    </xf>
    <xf numFmtId="185" fontId="11" fillId="0" borderId="0" xfId="37" applyNumberFormat="1" applyFont="1" applyAlignment="1">
      <alignment vertical="center"/>
    </xf>
    <xf numFmtId="185" fontId="0" fillId="0" borderId="0" xfId="37" applyNumberFormat="1" applyFont="1" applyAlignment="1">
      <alignment/>
    </xf>
    <xf numFmtId="166" fontId="4" fillId="0" borderId="0" xfId="45" applyNumberFormat="1" applyFont="1">
      <alignment/>
      <protection/>
    </xf>
    <xf numFmtId="49" fontId="4" fillId="0" borderId="0" xfId="45" applyNumberFormat="1" applyFont="1">
      <alignment/>
      <protection/>
    </xf>
    <xf numFmtId="167" fontId="4" fillId="0" borderId="0" xfId="45" applyNumberFormat="1" applyFont="1">
      <alignment/>
      <protection/>
    </xf>
    <xf numFmtId="168" fontId="4" fillId="0" borderId="0" xfId="45" applyNumberFormat="1" applyFont="1">
      <alignment/>
      <protection/>
    </xf>
    <xf numFmtId="169" fontId="4" fillId="0" borderId="0" xfId="45" applyNumberFormat="1" applyFont="1">
      <alignment/>
      <protection/>
    </xf>
    <xf numFmtId="170" fontId="4" fillId="0" borderId="0" xfId="45" applyNumberFormat="1" applyFont="1">
      <alignment/>
      <protection/>
    </xf>
    <xf numFmtId="0" fontId="0" fillId="0" borderId="0" xfId="45">
      <alignment/>
      <protection/>
    </xf>
    <xf numFmtId="49" fontId="2" fillId="0" borderId="11" xfId="45" applyNumberFormat="1" applyFont="1" applyBorder="1" applyAlignment="1">
      <alignment horizontal="center"/>
      <protection/>
    </xf>
    <xf numFmtId="0" fontId="2" fillId="0" borderId="11" xfId="45" applyFont="1" applyBorder="1" applyAlignment="1">
      <alignment horizontal="center"/>
      <protection/>
    </xf>
    <xf numFmtId="0" fontId="6" fillId="0" borderId="0" xfId="45" applyFont="1">
      <alignment/>
      <protection/>
    </xf>
    <xf numFmtId="49" fontId="2" fillId="0" borderId="0" xfId="45" applyNumberFormat="1" applyFont="1" applyAlignment="1">
      <alignment horizontal="right"/>
      <protection/>
    </xf>
    <xf numFmtId="49" fontId="2" fillId="0" borderId="0" xfId="45" applyNumberFormat="1" applyFont="1" applyAlignment="1">
      <alignment horizontal="center"/>
      <protection/>
    </xf>
    <xf numFmtId="49" fontId="2" fillId="0" borderId="0" xfId="45" applyNumberFormat="1" applyFont="1" applyAlignment="1">
      <alignment horizontal="left"/>
      <protection/>
    </xf>
    <xf numFmtId="0" fontId="2" fillId="0" borderId="0" xfId="45" applyFont="1" applyAlignment="1">
      <alignment horizontal="left" wrapText="1"/>
      <protection/>
    </xf>
    <xf numFmtId="0" fontId="2" fillId="0" borderId="0" xfId="45" applyFont="1" applyAlignment="1">
      <alignment horizontal="right"/>
      <protection/>
    </xf>
    <xf numFmtId="166" fontId="7" fillId="0" borderId="0" xfId="45" applyNumberFormat="1" applyFont="1">
      <alignment/>
      <protection/>
    </xf>
    <xf numFmtId="49" fontId="7" fillId="0" borderId="0" xfId="45" applyNumberFormat="1" applyFont="1" applyAlignment="1">
      <alignment horizontal="center"/>
      <protection/>
    </xf>
    <xf numFmtId="0" fontId="7" fillId="0" borderId="0" xfId="45" applyFont="1" applyAlignment="1">
      <alignment horizontal="left"/>
      <protection/>
    </xf>
    <xf numFmtId="167" fontId="7" fillId="0" borderId="0" xfId="45" applyNumberFormat="1" applyFont="1">
      <alignment/>
      <protection/>
    </xf>
    <xf numFmtId="168" fontId="7" fillId="0" borderId="0" xfId="45" applyNumberFormat="1" applyFont="1">
      <alignment/>
      <protection/>
    </xf>
    <xf numFmtId="169" fontId="7" fillId="0" borderId="0" xfId="45" applyNumberFormat="1" applyFont="1">
      <alignment/>
      <protection/>
    </xf>
    <xf numFmtId="170" fontId="7" fillId="0" borderId="0" xfId="45" applyNumberFormat="1" applyFont="1">
      <alignment/>
      <protection/>
    </xf>
    <xf numFmtId="178" fontId="7" fillId="0" borderId="0" xfId="45" applyNumberFormat="1" applyFont="1">
      <alignment/>
      <protection/>
    </xf>
    <xf numFmtId="179" fontId="52" fillId="0" borderId="0" xfId="45" applyNumberFormat="1" applyFont="1">
      <alignment/>
      <protection/>
    </xf>
    <xf numFmtId="0" fontId="7" fillId="0" borderId="0" xfId="45" applyFont="1">
      <alignment/>
      <protection/>
    </xf>
    <xf numFmtId="49" fontId="7" fillId="0" borderId="0" xfId="45" applyNumberFormat="1" applyFont="1" applyAlignment="1">
      <alignment horizontal="left"/>
      <protection/>
    </xf>
    <xf numFmtId="166" fontId="2" fillId="0" borderId="0" xfId="45" applyNumberFormat="1" applyFont="1">
      <alignment/>
      <protection/>
    </xf>
    <xf numFmtId="0" fontId="2" fillId="0" borderId="0" xfId="45" applyFont="1" applyAlignment="1">
      <alignment horizontal="left"/>
      <protection/>
    </xf>
    <xf numFmtId="167" fontId="2" fillId="0" borderId="0" xfId="45" applyNumberFormat="1" applyFont="1">
      <alignment/>
      <protection/>
    </xf>
    <xf numFmtId="168" fontId="2" fillId="0" borderId="0" xfId="45" applyNumberFormat="1" applyFont="1">
      <alignment/>
      <protection/>
    </xf>
    <xf numFmtId="169" fontId="2" fillId="0" borderId="0" xfId="45" applyNumberFormat="1" applyFont="1">
      <alignment/>
      <protection/>
    </xf>
    <xf numFmtId="170" fontId="2" fillId="0" borderId="0" xfId="45" applyNumberFormat="1" applyFont="1">
      <alignment/>
      <protection/>
    </xf>
    <xf numFmtId="178" fontId="2" fillId="0" borderId="0" xfId="45" applyNumberFormat="1" applyFont="1">
      <alignment/>
      <protection/>
    </xf>
    <xf numFmtId="179" fontId="51" fillId="0" borderId="0" xfId="45" applyNumberFormat="1" applyFont="1">
      <alignment/>
      <protection/>
    </xf>
    <xf numFmtId="0" fontId="2" fillId="0" borderId="0" xfId="45" applyFont="1">
      <alignment/>
      <protection/>
    </xf>
    <xf numFmtId="166" fontId="5" fillId="0" borderId="10" xfId="45" applyNumberFormat="1" applyFont="1" applyBorder="1" applyAlignment="1">
      <alignment horizontal="right" vertical="top"/>
      <protection/>
    </xf>
    <xf numFmtId="49" fontId="5" fillId="0" borderId="10" xfId="45" applyNumberFormat="1" applyFont="1" applyBorder="1" applyAlignment="1">
      <alignment horizontal="center" vertical="top"/>
      <protection/>
    </xf>
    <xf numFmtId="49" fontId="5" fillId="0" borderId="10" xfId="45" applyNumberFormat="1" applyFont="1" applyBorder="1" applyAlignment="1">
      <alignment horizontal="left" vertical="top"/>
      <protection/>
    </xf>
    <xf numFmtId="0" fontId="5" fillId="0" borderId="10" xfId="45" applyFont="1" applyBorder="1" applyAlignment="1">
      <alignment horizontal="left" vertical="top" wrapText="1"/>
      <protection/>
    </xf>
    <xf numFmtId="167" fontId="9" fillId="0" borderId="10" xfId="45" applyNumberFormat="1" applyFont="1" applyBorder="1" applyAlignment="1">
      <alignment horizontal="right" vertical="top"/>
      <protection/>
    </xf>
    <xf numFmtId="178" fontId="5" fillId="0" borderId="10" xfId="45" applyNumberFormat="1" applyFont="1" applyBorder="1" applyAlignment="1">
      <alignment horizontal="right" vertical="top"/>
      <protection/>
    </xf>
    <xf numFmtId="169" fontId="5" fillId="0" borderId="10" xfId="45" applyNumberFormat="1" applyFont="1" applyBorder="1" applyAlignment="1">
      <alignment horizontal="right" vertical="top"/>
      <protection/>
    </xf>
    <xf numFmtId="170" fontId="5" fillId="0" borderId="10" xfId="45" applyNumberFormat="1" applyFont="1" applyBorder="1" applyAlignment="1">
      <alignment horizontal="right" vertical="top"/>
      <protection/>
    </xf>
    <xf numFmtId="0" fontId="8" fillId="0" borderId="0" xfId="45" applyFont="1">
      <alignment/>
      <protection/>
    </xf>
    <xf numFmtId="168" fontId="5" fillId="0" borderId="10" xfId="45" applyNumberFormat="1" applyFont="1" applyBorder="1" applyAlignment="1">
      <alignment horizontal="right" vertical="top"/>
      <protection/>
    </xf>
    <xf numFmtId="181" fontId="9" fillId="0" borderId="10" xfId="45" applyNumberFormat="1" applyFont="1" applyBorder="1" applyAlignment="1">
      <alignment horizontal="right" vertical="top"/>
      <protection/>
    </xf>
    <xf numFmtId="166" fontId="50" fillId="0" borderId="0" xfId="45" applyNumberFormat="1" applyFont="1" applyAlignment="1">
      <alignment horizontal="center" vertical="center"/>
      <protection/>
    </xf>
    <xf numFmtId="49" fontId="50" fillId="0" borderId="0" xfId="45" applyNumberFormat="1" applyFont="1" applyAlignment="1">
      <alignment horizontal="center" vertical="center"/>
      <protection/>
    </xf>
    <xf numFmtId="49" fontId="50" fillId="0" borderId="0" xfId="45" applyNumberFormat="1" applyFont="1" applyAlignment="1">
      <alignment horizontal="center" vertical="center" wrapText="1"/>
      <protection/>
    </xf>
    <xf numFmtId="167" fontId="50" fillId="0" borderId="0" xfId="45" applyNumberFormat="1" applyFont="1" applyAlignment="1">
      <alignment horizontal="center" vertical="center"/>
      <protection/>
    </xf>
    <xf numFmtId="168" fontId="50" fillId="0" borderId="0" xfId="45" applyNumberFormat="1" applyFont="1" applyAlignment="1">
      <alignment horizontal="center" vertical="center"/>
      <protection/>
    </xf>
    <xf numFmtId="169" fontId="50" fillId="0" borderId="0" xfId="45" applyNumberFormat="1" applyFont="1" applyAlignment="1">
      <alignment horizontal="center" vertical="center"/>
      <protection/>
    </xf>
    <xf numFmtId="170" fontId="50" fillId="0" borderId="0" xfId="45" applyNumberFormat="1" applyFont="1" applyAlignment="1">
      <alignment horizontal="center" vertical="center"/>
      <protection/>
    </xf>
    <xf numFmtId="179" fontId="50" fillId="0" borderId="0" xfId="45" applyNumberFormat="1" applyFont="1" applyAlignment="1">
      <alignment horizontal="center" vertical="center"/>
      <protection/>
    </xf>
    <xf numFmtId="0" fontId="50" fillId="0" borderId="0" xfId="45" applyFont="1" applyAlignment="1">
      <alignment horizontal="center" vertical="center"/>
      <protection/>
    </xf>
    <xf numFmtId="166" fontId="5" fillId="0" borderId="0" xfId="45" applyNumberFormat="1" applyFont="1" applyAlignment="1">
      <alignment horizontal="right" vertical="top"/>
      <protection/>
    </xf>
    <xf numFmtId="49" fontId="5" fillId="0" borderId="0" xfId="45" applyNumberFormat="1" applyFont="1" applyAlignment="1">
      <alignment horizontal="center" vertical="top"/>
      <protection/>
    </xf>
    <xf numFmtId="49" fontId="5" fillId="0" borderId="0" xfId="45" applyNumberFormat="1" applyFont="1" applyAlignment="1">
      <alignment horizontal="left" vertical="top"/>
      <protection/>
    </xf>
    <xf numFmtId="0" fontId="5" fillId="0" borderId="0" xfId="45" applyFont="1" applyAlignment="1">
      <alignment horizontal="left" vertical="top" wrapText="1"/>
      <protection/>
    </xf>
    <xf numFmtId="167" fontId="9" fillId="0" borderId="0" xfId="45" applyNumberFormat="1" applyFont="1" applyAlignment="1">
      <alignment horizontal="right" vertical="top"/>
      <protection/>
    </xf>
    <xf numFmtId="178" fontId="5" fillId="0" borderId="0" xfId="45" applyNumberFormat="1" applyFont="1" applyAlignment="1">
      <alignment horizontal="right" vertical="top"/>
      <protection/>
    </xf>
    <xf numFmtId="168" fontId="5" fillId="0" borderId="0" xfId="45" applyNumberFormat="1" applyFont="1" applyAlignment="1">
      <alignment horizontal="right" vertical="top"/>
      <protection/>
    </xf>
    <xf numFmtId="169" fontId="5" fillId="0" borderId="0" xfId="45" applyNumberFormat="1" applyFont="1" applyAlignment="1">
      <alignment horizontal="right" vertical="top"/>
      <protection/>
    </xf>
    <xf numFmtId="170" fontId="5" fillId="0" borderId="0" xfId="45" applyNumberFormat="1" applyFont="1" applyAlignment="1">
      <alignment horizontal="right" vertical="top"/>
      <protection/>
    </xf>
    <xf numFmtId="166" fontId="1" fillId="0" borderId="0" xfId="45" applyNumberFormat="1" applyFont="1" applyAlignment="1">
      <alignment horizontal="right" vertical="top"/>
      <protection/>
    </xf>
    <xf numFmtId="168" fontId="1" fillId="0" borderId="0" xfId="45" applyNumberFormat="1" applyFont="1" applyAlignment="1">
      <alignment horizontal="right" vertical="top"/>
      <protection/>
    </xf>
    <xf numFmtId="169" fontId="1" fillId="0" borderId="0" xfId="45" applyNumberFormat="1" applyFont="1" applyAlignment="1">
      <alignment horizontal="right" vertical="top"/>
      <protection/>
    </xf>
    <xf numFmtId="170" fontId="1" fillId="0" borderId="0" xfId="45" applyNumberFormat="1" applyFont="1" applyAlignment="1">
      <alignment horizontal="right" vertical="top"/>
      <protection/>
    </xf>
    <xf numFmtId="49" fontId="1" fillId="0" borderId="0" xfId="45" applyNumberFormat="1" applyFont="1" applyAlignment="1">
      <alignment horizontal="left" vertical="top"/>
      <protection/>
    </xf>
    <xf numFmtId="49" fontId="1" fillId="0" borderId="0" xfId="45" applyNumberFormat="1" applyFont="1" applyAlignment="1">
      <alignment horizontal="center" vertical="top"/>
      <protection/>
    </xf>
    <xf numFmtId="49" fontId="1" fillId="0" borderId="0" xfId="45" applyNumberFormat="1" applyFont="1" applyAlignment="1">
      <alignment horizontal="left" vertical="top" wrapText="1"/>
      <protection/>
    </xf>
    <xf numFmtId="167" fontId="3" fillId="0" borderId="0" xfId="45" applyNumberFormat="1" applyFont="1" applyAlignment="1">
      <alignment horizontal="right" vertical="top"/>
      <protection/>
    </xf>
    <xf numFmtId="0" fontId="11" fillId="0" borderId="12" xfId="0" applyFont="1" applyBorder="1" applyAlignment="1">
      <alignment vertical="center"/>
    </xf>
    <xf numFmtId="185" fontId="11" fillId="0" borderId="12" xfId="37" applyNumberFormat="1" applyFont="1" applyBorder="1" applyAlignment="1">
      <alignment vertical="center"/>
    </xf>
    <xf numFmtId="0" fontId="12" fillId="33" borderId="0" xfId="0" applyFont="1" applyFill="1" applyAlignment="1">
      <alignment vertical="center"/>
    </xf>
    <xf numFmtId="185" fontId="12" fillId="33" borderId="0" xfId="37" applyNumberFormat="1" applyFont="1" applyFill="1" applyAlignment="1">
      <alignment vertical="center"/>
    </xf>
    <xf numFmtId="166" fontId="1" fillId="0" borderId="0" xfId="0" applyNumberFormat="1" applyFont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49" fontId="5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left" vertical="top"/>
    </xf>
    <xf numFmtId="0" fontId="5" fillId="33" borderId="10" xfId="0" applyNumberFormat="1" applyFont="1" applyFill="1" applyBorder="1" applyAlignment="1">
      <alignment horizontal="left" vertical="top" wrapText="1"/>
    </xf>
    <xf numFmtId="167" fontId="9" fillId="33" borderId="10" xfId="0" applyNumberFormat="1" applyFont="1" applyFill="1" applyBorder="1" applyAlignment="1">
      <alignment horizontal="right" vertical="top"/>
    </xf>
    <xf numFmtId="178" fontId="5" fillId="33" borderId="10" xfId="0" applyNumberFormat="1" applyFont="1" applyFill="1" applyBorder="1" applyAlignment="1">
      <alignment horizontal="right" vertical="top"/>
    </xf>
    <xf numFmtId="168" fontId="5" fillId="33" borderId="10" xfId="0" applyNumberFormat="1" applyFont="1" applyFill="1" applyBorder="1" applyAlignment="1">
      <alignment horizontal="right" vertical="top"/>
    </xf>
    <xf numFmtId="169" fontId="5" fillId="33" borderId="10" xfId="0" applyNumberFormat="1" applyFont="1" applyFill="1" applyBorder="1" applyAlignment="1">
      <alignment horizontal="right" vertical="top"/>
    </xf>
    <xf numFmtId="170" fontId="5" fillId="33" borderId="10" xfId="0" applyNumberFormat="1" applyFont="1" applyFill="1" applyBorder="1" applyAlignment="1">
      <alignment horizontal="right" vertical="top"/>
    </xf>
    <xf numFmtId="0" fontId="8" fillId="33" borderId="0" xfId="0" applyFont="1" applyFill="1" applyAlignment="1">
      <alignment/>
    </xf>
    <xf numFmtId="166" fontId="5" fillId="33" borderId="10" xfId="45" applyNumberFormat="1" applyFont="1" applyFill="1" applyBorder="1" applyAlignment="1">
      <alignment horizontal="right" vertical="top"/>
      <protection/>
    </xf>
    <xf numFmtId="49" fontId="5" fillId="33" borderId="10" xfId="45" applyNumberFormat="1" applyFont="1" applyFill="1" applyBorder="1" applyAlignment="1">
      <alignment horizontal="center" vertical="top"/>
      <protection/>
    </xf>
    <xf numFmtId="49" fontId="5" fillId="33" borderId="10" xfId="45" applyNumberFormat="1" applyFont="1" applyFill="1" applyBorder="1" applyAlignment="1">
      <alignment horizontal="left" vertical="top"/>
      <protection/>
    </xf>
    <xf numFmtId="0" fontId="5" fillId="33" borderId="10" xfId="45" applyFont="1" applyFill="1" applyBorder="1" applyAlignment="1">
      <alignment horizontal="left" vertical="top" wrapText="1"/>
      <protection/>
    </xf>
    <xf numFmtId="167" fontId="9" fillId="33" borderId="10" xfId="45" applyNumberFormat="1" applyFont="1" applyFill="1" applyBorder="1" applyAlignment="1">
      <alignment horizontal="right" vertical="top"/>
      <protection/>
    </xf>
    <xf numFmtId="178" fontId="5" fillId="33" borderId="10" xfId="45" applyNumberFormat="1" applyFont="1" applyFill="1" applyBorder="1" applyAlignment="1">
      <alignment horizontal="right" vertical="top"/>
      <protection/>
    </xf>
    <xf numFmtId="168" fontId="5" fillId="33" borderId="10" xfId="45" applyNumberFormat="1" applyFont="1" applyFill="1" applyBorder="1" applyAlignment="1">
      <alignment horizontal="right" vertical="top"/>
      <protection/>
    </xf>
    <xf numFmtId="169" fontId="5" fillId="33" borderId="10" xfId="45" applyNumberFormat="1" applyFont="1" applyFill="1" applyBorder="1" applyAlignment="1">
      <alignment horizontal="right" vertical="top"/>
      <protection/>
    </xf>
    <xf numFmtId="170" fontId="5" fillId="33" borderId="10" xfId="45" applyNumberFormat="1" applyFont="1" applyFill="1" applyBorder="1" applyAlignment="1">
      <alignment horizontal="right" vertical="top"/>
      <protection/>
    </xf>
    <xf numFmtId="0" fontId="8" fillId="33" borderId="0" xfId="45" applyFont="1" applyFill="1">
      <alignment/>
      <protection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G23"/>
  <sheetViews>
    <sheetView zoomScalePageLayoutView="0" workbookViewId="0" topLeftCell="A1">
      <selection activeCell="G31" sqref="G31"/>
    </sheetView>
  </sheetViews>
  <sheetFormatPr defaultColWidth="9.140625" defaultRowHeight="12.75"/>
  <cols>
    <col min="6" max="6" width="35.00390625" style="0" customWidth="1"/>
    <col min="7" max="7" width="17.7109375" style="0" customWidth="1"/>
  </cols>
  <sheetData>
    <row r="4" spans="3:7" ht="20.25">
      <c r="C4" s="166" t="s">
        <v>142</v>
      </c>
      <c r="D4" s="166"/>
      <c r="E4" s="166"/>
      <c r="F4" s="166"/>
      <c r="G4" s="166"/>
    </row>
    <row r="7" spans="3:7" s="66" customFormat="1" ht="15.75" customHeight="1">
      <c r="C7" s="66" t="s">
        <v>143</v>
      </c>
      <c r="G7" s="67">
        <f>'DK - přípojky'!P5</f>
        <v>0</v>
      </c>
    </row>
    <row r="8" spans="3:7" s="66" customFormat="1" ht="15.75" customHeight="1">
      <c r="C8" s="66" t="s">
        <v>144</v>
      </c>
      <c r="G8" s="67">
        <f>'DK - stoky'!P5</f>
        <v>0</v>
      </c>
    </row>
    <row r="9" spans="3:7" s="66" customFormat="1" ht="15.75" customHeight="1">
      <c r="C9" s="66" t="s">
        <v>179</v>
      </c>
      <c r="G9" s="67">
        <f>SK!P5</f>
        <v>0</v>
      </c>
    </row>
    <row r="10" spans="3:7" s="66" customFormat="1" ht="15.75" customHeight="1">
      <c r="C10" s="66" t="s">
        <v>238</v>
      </c>
      <c r="G10" s="67">
        <f>VP!P5</f>
        <v>0</v>
      </c>
    </row>
    <row r="11" spans="3:7" s="66" customFormat="1" ht="15.75" customHeight="1">
      <c r="C11" s="141"/>
      <c r="D11" s="141"/>
      <c r="E11" s="141"/>
      <c r="F11" s="141"/>
      <c r="G11" s="142"/>
    </row>
    <row r="12" spans="3:7" s="66" customFormat="1" ht="15.75" customHeight="1">
      <c r="C12" s="143" t="s">
        <v>239</v>
      </c>
      <c r="D12" s="143"/>
      <c r="E12" s="143"/>
      <c r="F12" s="143"/>
      <c r="G12" s="144">
        <f>SUM(G7:G11)</f>
        <v>0</v>
      </c>
    </row>
    <row r="13" spans="3:7" s="66" customFormat="1" ht="15.75" customHeight="1">
      <c r="C13" s="141" t="s">
        <v>240</v>
      </c>
      <c r="D13" s="141"/>
      <c r="E13" s="141"/>
      <c r="F13" s="141"/>
      <c r="G13" s="142">
        <f>0.21*G12</f>
        <v>0</v>
      </c>
    </row>
    <row r="14" spans="3:7" s="66" customFormat="1" ht="15.75" customHeight="1">
      <c r="C14" s="143" t="s">
        <v>241</v>
      </c>
      <c r="D14" s="143"/>
      <c r="E14" s="143"/>
      <c r="F14" s="143"/>
      <c r="G14" s="144">
        <f>G12+G13</f>
        <v>0</v>
      </c>
    </row>
    <row r="15" s="66" customFormat="1" ht="15.75" customHeight="1">
      <c r="G15" s="67"/>
    </row>
    <row r="16" s="66" customFormat="1" ht="15.75" customHeight="1">
      <c r="G16" s="67"/>
    </row>
    <row r="17" s="66" customFormat="1" ht="15.75" customHeight="1">
      <c r="G17" s="67"/>
    </row>
    <row r="18" s="66" customFormat="1" ht="15.75" customHeight="1">
      <c r="G18" s="67"/>
    </row>
    <row r="19" s="66" customFormat="1" ht="15.75" customHeight="1">
      <c r="G19" s="67"/>
    </row>
    <row r="20" s="66" customFormat="1" ht="15.75" customHeight="1">
      <c r="G20" s="67"/>
    </row>
    <row r="21" s="66" customFormat="1" ht="15.75" customHeight="1">
      <c r="G21" s="67"/>
    </row>
    <row r="22" ht="12.75">
      <c r="G22" s="68"/>
    </row>
    <row r="23" ht="12.75">
      <c r="G23" s="68"/>
    </row>
  </sheetData>
  <sheetProtection/>
  <mergeCells count="1">
    <mergeCell ref="C4:G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F1:Z67"/>
  <sheetViews>
    <sheetView zoomScaleSheetLayoutView="100" zoomScalePageLayoutView="0" workbookViewId="0" topLeftCell="H1">
      <pane ySplit="3" topLeftCell="A4" activePane="bottomLeft" state="frozen"/>
      <selection pane="topLeft" activeCell="A1" sqref="A1"/>
      <selection pane="bottomLeft" activeCell="AF19" sqref="AF19"/>
    </sheetView>
  </sheetViews>
  <sheetFormatPr defaultColWidth="9.140625" defaultRowHeight="12.75" outlineLevelRow="2"/>
  <cols>
    <col min="1" max="5" width="0" style="37" hidden="1" customWidth="1"/>
    <col min="6" max="6" width="5.8515625" style="60" customWidth="1"/>
    <col min="7" max="7" width="4.28125" style="64" customWidth="1"/>
    <col min="8" max="8" width="14.28125" style="61" customWidth="1"/>
    <col min="9" max="9" width="10.00390625" style="61" hidden="1" customWidth="1"/>
    <col min="10" max="10" width="57.140625" style="65" customWidth="1"/>
    <col min="11" max="11" width="4.28125" style="64" customWidth="1"/>
    <col min="12" max="12" width="13.7109375" style="1" customWidth="1"/>
    <col min="13" max="13" width="6.8515625" style="16" customWidth="1"/>
    <col min="14" max="14" width="13.421875" style="1" customWidth="1"/>
    <col min="15" max="15" width="12.421875" style="16" customWidth="1"/>
    <col min="16" max="16" width="15.7109375" style="62" customWidth="1"/>
    <col min="17" max="17" width="11.421875" style="63" hidden="1" customWidth="1"/>
    <col min="18" max="18" width="14.28125" style="16" customWidth="1"/>
    <col min="19" max="19" width="11.421875" style="16" hidden="1" customWidth="1"/>
    <col min="20" max="20" width="14.28125" style="16" hidden="1" customWidth="1"/>
    <col min="21" max="21" width="9.7109375" style="16" hidden="1" customWidth="1"/>
    <col min="22" max="22" width="14.57421875" style="16" hidden="1" customWidth="1"/>
    <col min="23" max="23" width="15.7109375" style="16" hidden="1" customWidth="1"/>
    <col min="24" max="24" width="25.7109375" style="16" hidden="1" customWidth="1"/>
    <col min="25" max="26" width="10.00390625" style="61" hidden="1" customWidth="1"/>
    <col min="27" max="27" width="9.421875" style="37" customWidth="1"/>
    <col min="28" max="16384" width="9.140625" style="37" customWidth="1"/>
  </cols>
  <sheetData>
    <row r="1" spans="6:26" ht="21" customHeight="1">
      <c r="F1" s="33"/>
      <c r="G1" s="34"/>
      <c r="H1" s="34"/>
      <c r="I1" s="34"/>
      <c r="J1" s="34"/>
      <c r="K1" s="34"/>
      <c r="L1" s="2"/>
      <c r="M1" s="7"/>
      <c r="N1" s="2"/>
      <c r="O1" s="7"/>
      <c r="P1" s="35"/>
      <c r="Q1" s="36"/>
      <c r="R1" s="7"/>
      <c r="S1" s="7"/>
      <c r="T1" s="7"/>
      <c r="U1" s="7"/>
      <c r="V1" s="7"/>
      <c r="W1" s="7"/>
      <c r="X1" s="7"/>
      <c r="Y1" s="34"/>
      <c r="Z1" s="34"/>
    </row>
    <row r="2" spans="6:26" ht="21" customHeight="1">
      <c r="F2" s="33"/>
      <c r="G2" s="34"/>
      <c r="H2" s="34"/>
      <c r="I2" s="34"/>
      <c r="J2" s="34"/>
      <c r="K2" s="34"/>
      <c r="L2" s="2"/>
      <c r="M2" s="7"/>
      <c r="N2" s="2"/>
      <c r="O2" s="7"/>
      <c r="P2" s="35"/>
      <c r="Q2" s="36"/>
      <c r="R2" s="7"/>
      <c r="S2" s="7"/>
      <c r="T2" s="7"/>
      <c r="U2" s="7"/>
      <c r="V2" s="7"/>
      <c r="W2" s="7"/>
      <c r="X2" s="7"/>
      <c r="Y2" s="34"/>
      <c r="Z2" s="34"/>
    </row>
    <row r="3" spans="6:26" s="39" customFormat="1" ht="13.5" thickBot="1">
      <c r="F3" s="8" t="s">
        <v>26</v>
      </c>
      <c r="G3" s="8" t="s">
        <v>14</v>
      </c>
      <c r="H3" s="8" t="s">
        <v>13</v>
      </c>
      <c r="I3" s="8" t="s">
        <v>50</v>
      </c>
      <c r="J3" s="38" t="s">
        <v>20</v>
      </c>
      <c r="K3" s="8" t="s">
        <v>4</v>
      </c>
      <c r="L3" s="8" t="s">
        <v>62</v>
      </c>
      <c r="M3" s="8" t="s">
        <v>25</v>
      </c>
      <c r="N3" s="8" t="s">
        <v>53</v>
      </c>
      <c r="O3" s="8" t="s">
        <v>52</v>
      </c>
      <c r="P3" s="8" t="s">
        <v>16</v>
      </c>
      <c r="Q3" s="8" t="s">
        <v>55</v>
      </c>
      <c r="R3" s="8" t="s">
        <v>29</v>
      </c>
      <c r="S3" s="8" t="s">
        <v>58</v>
      </c>
      <c r="T3" s="8" t="s">
        <v>22</v>
      </c>
      <c r="U3" s="8" t="s">
        <v>49</v>
      </c>
      <c r="V3" s="8" t="s">
        <v>12</v>
      </c>
      <c r="W3" s="8" t="s">
        <v>51</v>
      </c>
      <c r="X3" s="38" t="s">
        <v>56</v>
      </c>
      <c r="Y3" s="8" t="s">
        <v>23</v>
      </c>
      <c r="Z3" s="8" t="s">
        <v>19</v>
      </c>
    </row>
    <row r="4" spans="6:26" ht="11.25" customHeight="1">
      <c r="F4" s="9"/>
      <c r="G4" s="24"/>
      <c r="H4" s="31"/>
      <c r="I4" s="31"/>
      <c r="J4" s="40"/>
      <c r="K4" s="2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41"/>
      <c r="Y4" s="31"/>
      <c r="Z4" s="31"/>
    </row>
    <row r="5" spans="6:26" s="51" customFormat="1" ht="17.25" customHeight="1">
      <c r="F5" s="42"/>
      <c r="G5" s="43"/>
      <c r="H5" s="44"/>
      <c r="I5" s="44"/>
      <c r="J5" s="44" t="s">
        <v>123</v>
      </c>
      <c r="K5" s="43"/>
      <c r="L5" s="3"/>
      <c r="M5" s="10"/>
      <c r="N5" s="3"/>
      <c r="O5" s="10"/>
      <c r="P5" s="45">
        <f>SUBTOTAL(9,P6:P67)</f>
        <v>0</v>
      </c>
      <c r="Q5" s="46"/>
      <c r="R5" s="47"/>
      <c r="S5" s="10"/>
      <c r="T5" s="47">
        <f>SUBTOTAL(9,T6:T67)</f>
        <v>0</v>
      </c>
      <c r="U5" s="48" t="s">
        <v>1</v>
      </c>
      <c r="V5" s="45">
        <f>SUBTOTAL(9,V6:V67)</f>
        <v>0</v>
      </c>
      <c r="W5" s="45">
        <f>SUBTOTAL(9,W6:W67)</f>
        <v>0</v>
      </c>
      <c r="X5" s="49"/>
      <c r="Y5" s="50"/>
      <c r="Z5" s="50"/>
    </row>
    <row r="6" spans="6:26" s="32" customFormat="1" ht="16.5" customHeight="1" outlineLevel="1">
      <c r="F6" s="23"/>
      <c r="G6" s="24"/>
      <c r="H6" s="25"/>
      <c r="I6" s="25"/>
      <c r="J6" s="25" t="s">
        <v>57</v>
      </c>
      <c r="K6" s="24"/>
      <c r="L6" s="4"/>
      <c r="M6" s="11"/>
      <c r="N6" s="4"/>
      <c r="O6" s="11"/>
      <c r="P6" s="26">
        <f>SUBTOTAL(9,P7:P20)</f>
        <v>0</v>
      </c>
      <c r="Q6" s="27"/>
      <c r="R6" s="28"/>
      <c r="S6" s="11"/>
      <c r="T6" s="28">
        <f>SUBTOTAL(9,T7:T21)</f>
        <v>0</v>
      </c>
      <c r="U6" s="29" t="s">
        <v>1</v>
      </c>
      <c r="V6" s="26">
        <f>SUBTOTAL(9,V7:V21)</f>
        <v>0</v>
      </c>
      <c r="W6" s="26">
        <f>SUBTOTAL(9,W7:W21)</f>
        <v>0</v>
      </c>
      <c r="X6" s="30"/>
      <c r="Y6" s="31"/>
      <c r="Z6" s="31"/>
    </row>
    <row r="7" spans="6:26" s="22" customFormat="1" ht="12" outlineLevel="2">
      <c r="F7" s="17">
        <v>6</v>
      </c>
      <c r="G7" s="18" t="s">
        <v>5</v>
      </c>
      <c r="H7" s="19" t="s">
        <v>33</v>
      </c>
      <c r="I7" s="19"/>
      <c r="J7" s="20" t="s">
        <v>73</v>
      </c>
      <c r="K7" s="18" t="s">
        <v>7</v>
      </c>
      <c r="L7" s="5">
        <f>(0.9*18.1*1.5)+(14*0.9*1.5)+(1.8*0.9*3)+(2.2*0.9*2.4)+(13*0.9*2)+(1*0.9*2.1)+(0.9*12*1.5)+(0.9*3*3.5)+(3*0.9*3.3)+(3*0.9*3.1)+(3*0.9*3)+(2.5*0.9*2.7)+(2.2*0.9*2.3)+(2.2*0.9*2)+(4*0.9*1.4)+(1*0.9*2)+(1*0.9*2.1)+(4*0.9*1.5)+(1*0.9*1.6)+(3*0.9*1.3)+(2.5*0.9*1.6)+(3*0.9*2.5)+(3*0.9*3.1)+(7*0.9*4)</f>
        <v>206.856</v>
      </c>
      <c r="M7" s="12">
        <v>0</v>
      </c>
      <c r="N7" s="5">
        <f aca="true" t="shared" si="0" ref="N7:N20">L7*(1+M7/100)</f>
        <v>206.856</v>
      </c>
      <c r="O7" s="13"/>
      <c r="P7" s="15">
        <f aca="true" t="shared" si="1" ref="P7:P20">N7*O7</f>
        <v>0</v>
      </c>
      <c r="Q7" s="21"/>
      <c r="R7" s="12"/>
      <c r="S7" s="21"/>
      <c r="T7" s="12">
        <f aca="true" t="shared" si="2" ref="T7:T20">N7*S7</f>
        <v>0</v>
      </c>
      <c r="U7" s="15">
        <v>21</v>
      </c>
      <c r="V7" s="15">
        <f aca="true" t="shared" si="3" ref="V7:V20">P7*(U7/100)</f>
        <v>0</v>
      </c>
      <c r="W7" s="15">
        <f aca="true" t="shared" si="4" ref="W7:W20">P7+V7</f>
        <v>0</v>
      </c>
      <c r="X7" s="20"/>
      <c r="Y7" s="19" t="s">
        <v>21</v>
      </c>
      <c r="Z7" s="19" t="s">
        <v>8</v>
      </c>
    </row>
    <row r="8" spans="6:26" s="22" customFormat="1" ht="12" outlineLevel="2">
      <c r="F8" s="17">
        <v>7</v>
      </c>
      <c r="G8" s="18" t="s">
        <v>5</v>
      </c>
      <c r="H8" s="19" t="s">
        <v>34</v>
      </c>
      <c r="I8" s="19"/>
      <c r="J8" s="20" t="s">
        <v>77</v>
      </c>
      <c r="K8" s="18" t="s">
        <v>7</v>
      </c>
      <c r="L8" s="5">
        <f>L7*0.5</f>
        <v>103.428</v>
      </c>
      <c r="M8" s="12">
        <v>0</v>
      </c>
      <c r="N8" s="5">
        <f t="shared" si="0"/>
        <v>103.428</v>
      </c>
      <c r="O8" s="13"/>
      <c r="P8" s="15">
        <f t="shared" si="1"/>
        <v>0</v>
      </c>
      <c r="Q8" s="21"/>
      <c r="R8" s="12"/>
      <c r="S8" s="21"/>
      <c r="T8" s="12">
        <f t="shared" si="2"/>
        <v>0</v>
      </c>
      <c r="U8" s="15">
        <v>21</v>
      </c>
      <c r="V8" s="15">
        <f t="shared" si="3"/>
        <v>0</v>
      </c>
      <c r="W8" s="15">
        <f t="shared" si="4"/>
        <v>0</v>
      </c>
      <c r="X8" s="20"/>
      <c r="Y8" s="19" t="s">
        <v>21</v>
      </c>
      <c r="Z8" s="19" t="s">
        <v>8</v>
      </c>
    </row>
    <row r="9" spans="6:26" s="22" customFormat="1" ht="12" outlineLevel="2">
      <c r="F9" s="17">
        <v>8</v>
      </c>
      <c r="G9" s="18" t="s">
        <v>5</v>
      </c>
      <c r="H9" s="19" t="s">
        <v>35</v>
      </c>
      <c r="I9" s="19"/>
      <c r="J9" s="20" t="s">
        <v>70</v>
      </c>
      <c r="K9" s="18" t="s">
        <v>6</v>
      </c>
      <c r="L9" s="5">
        <f>(2*18.1*1.5)+(14*2*1.5)+(1.8*2*3)+(2.2*2*2.4)+(13*2*2)+(1*2*2.1)+(2*12*1.5)+(2*3*3.5)+(3*2*3.3)+(3*2*3.1)+(3*2*3)+(2.5*2*2.7)+(2.2*2*2.3)+(2.2*2*2)+(4*2*1.4)+(1*2*2)+(1*2*2.1)+(4*2*1.5)+(1*2*1.6)+(3*2*1.3)+(2.5*2*1.6)+(3*2*2.5)+(3*2*3.1)+(7*2*4)</f>
        <v>459.68000000000006</v>
      </c>
      <c r="M9" s="12">
        <v>0</v>
      </c>
      <c r="N9" s="5">
        <f t="shared" si="0"/>
        <v>459.68000000000006</v>
      </c>
      <c r="O9" s="13"/>
      <c r="P9" s="15">
        <f t="shared" si="1"/>
        <v>0</v>
      </c>
      <c r="Q9" s="21">
        <v>0.00085</v>
      </c>
      <c r="R9" s="12"/>
      <c r="S9" s="21"/>
      <c r="T9" s="12">
        <f t="shared" si="2"/>
        <v>0</v>
      </c>
      <c r="U9" s="15">
        <v>21</v>
      </c>
      <c r="V9" s="15">
        <f t="shared" si="3"/>
        <v>0</v>
      </c>
      <c r="W9" s="15">
        <f t="shared" si="4"/>
        <v>0</v>
      </c>
      <c r="X9" s="20"/>
      <c r="Y9" s="19" t="s">
        <v>21</v>
      </c>
      <c r="Z9" s="19" t="s">
        <v>8</v>
      </c>
    </row>
    <row r="10" spans="6:26" s="22" customFormat="1" ht="12" outlineLevel="2">
      <c r="F10" s="17">
        <v>9</v>
      </c>
      <c r="G10" s="18" t="s">
        <v>5</v>
      </c>
      <c r="H10" s="19" t="s">
        <v>36</v>
      </c>
      <c r="I10" s="19"/>
      <c r="J10" s="20" t="s">
        <v>74</v>
      </c>
      <c r="K10" s="18" t="s">
        <v>6</v>
      </c>
      <c r="L10" s="5">
        <f>L9</f>
        <v>459.68000000000006</v>
      </c>
      <c r="M10" s="12">
        <v>0</v>
      </c>
      <c r="N10" s="5">
        <f t="shared" si="0"/>
        <v>459.68000000000006</v>
      </c>
      <c r="O10" s="13"/>
      <c r="P10" s="15">
        <f t="shared" si="1"/>
        <v>0</v>
      </c>
      <c r="Q10" s="21"/>
      <c r="R10" s="12"/>
      <c r="S10" s="21"/>
      <c r="T10" s="12">
        <f t="shared" si="2"/>
        <v>0</v>
      </c>
      <c r="U10" s="15">
        <v>21</v>
      </c>
      <c r="V10" s="15">
        <f t="shared" si="3"/>
        <v>0</v>
      </c>
      <c r="W10" s="15">
        <f t="shared" si="4"/>
        <v>0</v>
      </c>
      <c r="X10" s="20"/>
      <c r="Y10" s="19" t="s">
        <v>21</v>
      </c>
      <c r="Z10" s="19" t="s">
        <v>8</v>
      </c>
    </row>
    <row r="11" spans="6:26" s="22" customFormat="1" ht="12" outlineLevel="2">
      <c r="F11" s="17">
        <v>10</v>
      </c>
      <c r="G11" s="18" t="s">
        <v>5</v>
      </c>
      <c r="H11" s="19" t="s">
        <v>37</v>
      </c>
      <c r="I11" s="19"/>
      <c r="J11" s="20" t="s">
        <v>75</v>
      </c>
      <c r="K11" s="18" t="s">
        <v>7</v>
      </c>
      <c r="L11" s="5">
        <f>L7</f>
        <v>206.856</v>
      </c>
      <c r="M11" s="12">
        <v>0</v>
      </c>
      <c r="N11" s="5">
        <f t="shared" si="0"/>
        <v>206.856</v>
      </c>
      <c r="O11" s="13"/>
      <c r="P11" s="15">
        <f t="shared" si="1"/>
        <v>0</v>
      </c>
      <c r="Q11" s="21"/>
      <c r="R11" s="12"/>
      <c r="S11" s="21"/>
      <c r="T11" s="12">
        <f t="shared" si="2"/>
        <v>0</v>
      </c>
      <c r="U11" s="15">
        <v>21</v>
      </c>
      <c r="V11" s="15">
        <f t="shared" si="3"/>
        <v>0</v>
      </c>
      <c r="W11" s="15">
        <f t="shared" si="4"/>
        <v>0</v>
      </c>
      <c r="X11" s="20"/>
      <c r="Y11" s="19" t="s">
        <v>21</v>
      </c>
      <c r="Z11" s="19" t="s">
        <v>8</v>
      </c>
    </row>
    <row r="12" spans="6:26" s="22" customFormat="1" ht="12" outlineLevel="2">
      <c r="F12" s="17">
        <v>11</v>
      </c>
      <c r="G12" s="18" t="s">
        <v>5</v>
      </c>
      <c r="H12" s="19" t="s">
        <v>38</v>
      </c>
      <c r="I12" s="19"/>
      <c r="J12" s="20" t="s">
        <v>79</v>
      </c>
      <c r="K12" s="18" t="s">
        <v>7</v>
      </c>
      <c r="L12" s="5">
        <f>L17</f>
        <v>156.50099999999998</v>
      </c>
      <c r="M12" s="12">
        <v>0</v>
      </c>
      <c r="N12" s="5">
        <f t="shared" si="0"/>
        <v>156.50099999999998</v>
      </c>
      <c r="O12" s="13"/>
      <c r="P12" s="15">
        <f t="shared" si="1"/>
        <v>0</v>
      </c>
      <c r="Q12" s="21"/>
      <c r="R12" s="12"/>
      <c r="S12" s="21"/>
      <c r="T12" s="12">
        <f t="shared" si="2"/>
        <v>0</v>
      </c>
      <c r="U12" s="15">
        <v>21</v>
      </c>
      <c r="V12" s="15">
        <f t="shared" si="3"/>
        <v>0</v>
      </c>
      <c r="W12" s="15">
        <f t="shared" si="4"/>
        <v>0</v>
      </c>
      <c r="X12" s="20"/>
      <c r="Y12" s="19" t="s">
        <v>21</v>
      </c>
      <c r="Z12" s="19" t="s">
        <v>8</v>
      </c>
    </row>
    <row r="13" spans="6:26" s="22" customFormat="1" ht="12" outlineLevel="2">
      <c r="F13" s="17">
        <v>12</v>
      </c>
      <c r="G13" s="18" t="s">
        <v>5</v>
      </c>
      <c r="H13" s="19" t="s">
        <v>39</v>
      </c>
      <c r="I13" s="19"/>
      <c r="J13" s="20" t="s">
        <v>81</v>
      </c>
      <c r="K13" s="18" t="s">
        <v>7</v>
      </c>
      <c r="L13" s="5">
        <f>(L7)-L17</f>
        <v>50.35500000000002</v>
      </c>
      <c r="M13" s="12">
        <v>0</v>
      </c>
      <c r="N13" s="5">
        <f t="shared" si="0"/>
        <v>50.35500000000002</v>
      </c>
      <c r="O13" s="13"/>
      <c r="P13" s="15">
        <f t="shared" si="1"/>
        <v>0</v>
      </c>
      <c r="Q13" s="21"/>
      <c r="R13" s="12"/>
      <c r="S13" s="21"/>
      <c r="T13" s="12">
        <f t="shared" si="2"/>
        <v>0</v>
      </c>
      <c r="U13" s="15">
        <v>21</v>
      </c>
      <c r="V13" s="15">
        <f t="shared" si="3"/>
        <v>0</v>
      </c>
      <c r="W13" s="15">
        <f t="shared" si="4"/>
        <v>0</v>
      </c>
      <c r="X13" s="20"/>
      <c r="Y13" s="19" t="s">
        <v>21</v>
      </c>
      <c r="Z13" s="19" t="s">
        <v>8</v>
      </c>
    </row>
    <row r="14" spans="6:26" s="22" customFormat="1" ht="12" outlineLevel="2">
      <c r="F14" s="17">
        <v>13</v>
      </c>
      <c r="G14" s="18" t="s">
        <v>5</v>
      </c>
      <c r="H14" s="19" t="s">
        <v>40</v>
      </c>
      <c r="I14" s="19"/>
      <c r="J14" s="20" t="s">
        <v>69</v>
      </c>
      <c r="K14" s="18" t="s">
        <v>7</v>
      </c>
      <c r="L14" s="5">
        <f>L13</f>
        <v>50.35500000000002</v>
      </c>
      <c r="M14" s="12">
        <v>0</v>
      </c>
      <c r="N14" s="5">
        <f t="shared" si="0"/>
        <v>50.35500000000002</v>
      </c>
      <c r="O14" s="13"/>
      <c r="P14" s="15">
        <f t="shared" si="1"/>
        <v>0</v>
      </c>
      <c r="Q14" s="21"/>
      <c r="R14" s="12"/>
      <c r="S14" s="21"/>
      <c r="T14" s="12">
        <f t="shared" si="2"/>
        <v>0</v>
      </c>
      <c r="U14" s="15">
        <v>21</v>
      </c>
      <c r="V14" s="15">
        <f t="shared" si="3"/>
        <v>0</v>
      </c>
      <c r="W14" s="15">
        <f t="shared" si="4"/>
        <v>0</v>
      </c>
      <c r="X14" s="20"/>
      <c r="Y14" s="19" t="s">
        <v>21</v>
      </c>
      <c r="Z14" s="19" t="s">
        <v>8</v>
      </c>
    </row>
    <row r="15" spans="6:26" s="22" customFormat="1" ht="12" outlineLevel="2">
      <c r="F15" s="17">
        <v>14</v>
      </c>
      <c r="G15" s="18" t="s">
        <v>5</v>
      </c>
      <c r="H15" s="19" t="s">
        <v>41</v>
      </c>
      <c r="I15" s="19"/>
      <c r="J15" s="20" t="s">
        <v>64</v>
      </c>
      <c r="K15" s="18" t="s">
        <v>7</v>
      </c>
      <c r="L15" s="5">
        <f>L13</f>
        <v>50.35500000000002</v>
      </c>
      <c r="M15" s="12">
        <v>0</v>
      </c>
      <c r="N15" s="5">
        <f t="shared" si="0"/>
        <v>50.35500000000002</v>
      </c>
      <c r="O15" s="13"/>
      <c r="P15" s="15">
        <f t="shared" si="1"/>
        <v>0</v>
      </c>
      <c r="Q15" s="21"/>
      <c r="R15" s="12"/>
      <c r="S15" s="21"/>
      <c r="T15" s="12">
        <f t="shared" si="2"/>
        <v>0</v>
      </c>
      <c r="U15" s="15">
        <v>21</v>
      </c>
      <c r="V15" s="15">
        <f t="shared" si="3"/>
        <v>0</v>
      </c>
      <c r="W15" s="15">
        <f t="shared" si="4"/>
        <v>0</v>
      </c>
      <c r="X15" s="20"/>
      <c r="Y15" s="19" t="s">
        <v>21</v>
      </c>
      <c r="Z15" s="19" t="s">
        <v>8</v>
      </c>
    </row>
    <row r="16" spans="6:26" s="22" customFormat="1" ht="23.25" customHeight="1" outlineLevel="2">
      <c r="F16" s="17">
        <v>15</v>
      </c>
      <c r="G16" s="18" t="s">
        <v>5</v>
      </c>
      <c r="H16" s="19" t="s">
        <v>42</v>
      </c>
      <c r="I16" s="19"/>
      <c r="J16" s="20" t="s">
        <v>80</v>
      </c>
      <c r="K16" s="18" t="s">
        <v>3</v>
      </c>
      <c r="L16" s="5">
        <f>1.8*L15</f>
        <v>90.63900000000004</v>
      </c>
      <c r="M16" s="12">
        <v>0</v>
      </c>
      <c r="N16" s="5">
        <f t="shared" si="0"/>
        <v>90.63900000000004</v>
      </c>
      <c r="O16" s="13"/>
      <c r="P16" s="15">
        <f t="shared" si="1"/>
        <v>0</v>
      </c>
      <c r="Q16" s="21"/>
      <c r="R16" s="12"/>
      <c r="S16" s="21"/>
      <c r="T16" s="12">
        <f t="shared" si="2"/>
        <v>0</v>
      </c>
      <c r="U16" s="15">
        <v>21</v>
      </c>
      <c r="V16" s="15">
        <f t="shared" si="3"/>
        <v>0</v>
      </c>
      <c r="W16" s="15">
        <f t="shared" si="4"/>
        <v>0</v>
      </c>
      <c r="X16" s="20"/>
      <c r="Y16" s="19" t="s">
        <v>21</v>
      </c>
      <c r="Z16" s="19" t="s">
        <v>8</v>
      </c>
    </row>
    <row r="17" spans="6:26" s="22" customFormat="1" ht="12" outlineLevel="2">
      <c r="F17" s="17">
        <v>16</v>
      </c>
      <c r="G17" s="18" t="s">
        <v>5</v>
      </c>
      <c r="H17" s="19" t="s">
        <v>43</v>
      </c>
      <c r="I17" s="19"/>
      <c r="J17" s="20" t="s">
        <v>76</v>
      </c>
      <c r="K17" s="18" t="s">
        <v>7</v>
      </c>
      <c r="L17" s="5">
        <f>(0.9*18.1*1)+(14*0.9*1)+(1.3*0.9*3)+(1.7*0.9*2.4)+(13*0.9*1.5)+(1*0.9*1.6)+(0.9*12*1)+(0.9*3*3)+(3*0.9*2.8)+(3*0.9*2.6)+(3*0.9*2.5)+(2.5*0.9*2.2)+(2.2*0.9*1.8)+(2.2*0.9*1.5)+(4*0.9*0.9)+(1*0.9*1.5)+(1*0.9*1.6)+(4*0.9*1)+(1*0.9*1.1)+(3*0.9*0.8)+(2.5*0.9*1.1)+(3*0.9*2)+(3*0.9*2.6)+(7*0.9*3.5)</f>
        <v>156.50099999999998</v>
      </c>
      <c r="M17" s="12">
        <v>0</v>
      </c>
      <c r="N17" s="5">
        <f t="shared" si="0"/>
        <v>156.50099999999998</v>
      </c>
      <c r="O17" s="13"/>
      <c r="P17" s="15">
        <f t="shared" si="1"/>
        <v>0</v>
      </c>
      <c r="Q17" s="21"/>
      <c r="R17" s="12"/>
      <c r="S17" s="21"/>
      <c r="T17" s="12">
        <f t="shared" si="2"/>
        <v>0</v>
      </c>
      <c r="U17" s="15">
        <v>21</v>
      </c>
      <c r="V17" s="15">
        <f t="shared" si="3"/>
        <v>0</v>
      </c>
      <c r="W17" s="15">
        <f t="shared" si="4"/>
        <v>0</v>
      </c>
      <c r="X17" s="20"/>
      <c r="Y17" s="19" t="s">
        <v>21</v>
      </c>
      <c r="Z17" s="19" t="s">
        <v>8</v>
      </c>
    </row>
    <row r="18" spans="6:26" s="22" customFormat="1" ht="24" outlineLevel="2">
      <c r="F18" s="17">
        <v>17</v>
      </c>
      <c r="G18" s="18" t="s">
        <v>5</v>
      </c>
      <c r="H18" s="19" t="s">
        <v>44</v>
      </c>
      <c r="I18" s="19"/>
      <c r="J18" s="20" t="s">
        <v>83</v>
      </c>
      <c r="K18" s="18" t="s">
        <v>7</v>
      </c>
      <c r="L18" s="5">
        <f>(0.9*18.1*0.5)+(14*0.9*0.5)+(0.5*0.9*3)+(1.7*0.9*0.5)+(13*0.9*0.5)+(1*0.9*0.56)+(0.9*12*0.5)+(0.9*3*0.5)+(3*0.9*0.5)+(3*0.9*0.5)+(3*0.9*0.5)+(2.5*0.9*0.5)+(2.2*0.9*0.5)+(2.2*0.9*0.5)+(4*0.9*0.5)+(1*0.9*0.5)+(1*0.9*0.5)+(4*0.9*0.5)+(1*0.9*0.5)+(3*0.9*0.5)+(2.5*0.9*0.5)+(3*0.9*0.5)+(3*0.9*0.5)+(7*0.9*0.5)</f>
        <v>50.094000000000015</v>
      </c>
      <c r="M18" s="12">
        <v>0</v>
      </c>
      <c r="N18" s="5">
        <f t="shared" si="0"/>
        <v>50.094000000000015</v>
      </c>
      <c r="O18" s="13"/>
      <c r="P18" s="15">
        <f t="shared" si="1"/>
        <v>0</v>
      </c>
      <c r="Q18" s="21"/>
      <c r="R18" s="12"/>
      <c r="S18" s="21"/>
      <c r="T18" s="12">
        <f t="shared" si="2"/>
        <v>0</v>
      </c>
      <c r="U18" s="15">
        <v>21</v>
      </c>
      <c r="V18" s="15">
        <f t="shared" si="3"/>
        <v>0</v>
      </c>
      <c r="W18" s="15">
        <f t="shared" si="4"/>
        <v>0</v>
      </c>
      <c r="X18" s="20"/>
      <c r="Y18" s="19" t="s">
        <v>21</v>
      </c>
      <c r="Z18" s="19" t="s">
        <v>8</v>
      </c>
    </row>
    <row r="19" spans="6:26" s="22" customFormat="1" ht="12" outlineLevel="2">
      <c r="F19" s="17">
        <v>18</v>
      </c>
      <c r="G19" s="18" t="s">
        <v>5</v>
      </c>
      <c r="H19" s="19" t="s">
        <v>45</v>
      </c>
      <c r="I19" s="19"/>
      <c r="J19" s="20" t="s">
        <v>71</v>
      </c>
      <c r="K19" s="18" t="s">
        <v>6</v>
      </c>
      <c r="L19" s="5">
        <f>(0.9*87)+0.9*(4+13+2+2.5+2.5+6.5+3*2.5)</f>
        <v>112.5</v>
      </c>
      <c r="M19" s="12">
        <v>0</v>
      </c>
      <c r="N19" s="5">
        <f t="shared" si="0"/>
        <v>112.5</v>
      </c>
      <c r="O19" s="13"/>
      <c r="P19" s="15">
        <f t="shared" si="1"/>
        <v>0</v>
      </c>
      <c r="Q19" s="21"/>
      <c r="R19" s="12"/>
      <c r="S19" s="21"/>
      <c r="T19" s="12">
        <f t="shared" si="2"/>
        <v>0</v>
      </c>
      <c r="U19" s="15">
        <v>21</v>
      </c>
      <c r="V19" s="15">
        <f t="shared" si="3"/>
        <v>0</v>
      </c>
      <c r="W19" s="15">
        <f t="shared" si="4"/>
        <v>0</v>
      </c>
      <c r="X19" s="20"/>
      <c r="Y19" s="19" t="s">
        <v>21</v>
      </c>
      <c r="Z19" s="19" t="s">
        <v>8</v>
      </c>
    </row>
    <row r="20" spans="6:26" s="22" customFormat="1" ht="12" outlineLevel="2">
      <c r="F20" s="17">
        <v>21</v>
      </c>
      <c r="G20" s="18" t="s">
        <v>0</v>
      </c>
      <c r="H20" s="19" t="s">
        <v>28</v>
      </c>
      <c r="I20" s="19"/>
      <c r="J20" s="20" t="s">
        <v>65</v>
      </c>
      <c r="K20" s="18" t="s">
        <v>3</v>
      </c>
      <c r="L20" s="5">
        <f>L18*1.9</f>
        <v>95.17860000000003</v>
      </c>
      <c r="M20" s="12">
        <v>0</v>
      </c>
      <c r="N20" s="5">
        <f t="shared" si="0"/>
        <v>95.17860000000003</v>
      </c>
      <c r="O20" s="13"/>
      <c r="P20" s="15">
        <f t="shared" si="1"/>
        <v>0</v>
      </c>
      <c r="Q20" s="21">
        <v>1</v>
      </c>
      <c r="R20" s="12"/>
      <c r="S20" s="21"/>
      <c r="T20" s="12">
        <f t="shared" si="2"/>
        <v>0</v>
      </c>
      <c r="U20" s="15">
        <v>21</v>
      </c>
      <c r="V20" s="15">
        <f t="shared" si="3"/>
        <v>0</v>
      </c>
      <c r="W20" s="15">
        <f t="shared" si="4"/>
        <v>0</v>
      </c>
      <c r="X20" s="20"/>
      <c r="Y20" s="19" t="s">
        <v>21</v>
      </c>
      <c r="Z20" s="19" t="s">
        <v>8</v>
      </c>
    </row>
    <row r="21" spans="6:26" s="59" customFormat="1" ht="12.75" customHeight="1" outlineLevel="2">
      <c r="F21" s="53"/>
      <c r="G21" s="54"/>
      <c r="H21" s="54"/>
      <c r="I21" s="54"/>
      <c r="J21" s="55"/>
      <c r="K21" s="54"/>
      <c r="L21" s="6"/>
      <c r="M21" s="14"/>
      <c r="N21" s="6"/>
      <c r="O21" s="14"/>
      <c r="P21" s="56"/>
      <c r="Q21" s="57"/>
      <c r="R21" s="14"/>
      <c r="S21" s="14"/>
      <c r="T21" s="14"/>
      <c r="U21" s="58" t="s">
        <v>1</v>
      </c>
      <c r="V21" s="14"/>
      <c r="W21" s="14"/>
      <c r="X21" s="14"/>
      <c r="Y21" s="54"/>
      <c r="Z21" s="54"/>
    </row>
    <row r="22" spans="6:26" s="32" customFormat="1" ht="16.5" customHeight="1" outlineLevel="1">
      <c r="F22" s="23"/>
      <c r="G22" s="24"/>
      <c r="H22" s="25"/>
      <c r="I22" s="25"/>
      <c r="J22" s="25" t="s">
        <v>67</v>
      </c>
      <c r="K22" s="24"/>
      <c r="L22" s="4"/>
      <c r="M22" s="11"/>
      <c r="N22" s="4"/>
      <c r="O22" s="11"/>
      <c r="P22" s="26">
        <f>SUBTOTAL(9,P23:P27)</f>
        <v>0</v>
      </c>
      <c r="Q22" s="27"/>
      <c r="R22" s="28"/>
      <c r="S22" s="11"/>
      <c r="T22" s="28">
        <f>SUBTOTAL(9,T23:T28)</f>
        <v>0</v>
      </c>
      <c r="U22" s="29" t="s">
        <v>1</v>
      </c>
      <c r="V22" s="26">
        <f>SUBTOTAL(9,V23:V28)</f>
        <v>0</v>
      </c>
      <c r="W22" s="26">
        <f>SUBTOTAL(9,W23:W28)</f>
        <v>0</v>
      </c>
      <c r="X22" s="30"/>
      <c r="Y22" s="31"/>
      <c r="Z22" s="31"/>
    </row>
    <row r="23" spans="6:26" s="22" customFormat="1" ht="12" outlineLevel="2">
      <c r="F23" s="17">
        <v>22</v>
      </c>
      <c r="G23" s="18" t="s">
        <v>5</v>
      </c>
      <c r="H23" s="19" t="s">
        <v>39</v>
      </c>
      <c r="I23" s="19"/>
      <c r="J23" s="20" t="s">
        <v>81</v>
      </c>
      <c r="K23" s="18" t="s">
        <v>7</v>
      </c>
      <c r="L23" s="5">
        <f>0.5*(L7)</f>
        <v>103.428</v>
      </c>
      <c r="M23" s="12">
        <v>0</v>
      </c>
      <c r="N23" s="5">
        <f>L23*(1+M23/100)</f>
        <v>103.428</v>
      </c>
      <c r="O23" s="13"/>
      <c r="P23" s="15">
        <f>N23*O23</f>
        <v>0</v>
      </c>
      <c r="Q23" s="21"/>
      <c r="R23" s="12"/>
      <c r="S23" s="21"/>
      <c r="T23" s="12">
        <f>N23*S23</f>
        <v>0</v>
      </c>
      <c r="U23" s="15"/>
      <c r="V23" s="15">
        <f>P23*(U23/100)</f>
        <v>0</v>
      </c>
      <c r="W23" s="15">
        <f>P23+V23</f>
        <v>0</v>
      </c>
      <c r="X23" s="20"/>
      <c r="Y23" s="19" t="s">
        <v>21</v>
      </c>
      <c r="Z23" s="19" t="s">
        <v>17</v>
      </c>
    </row>
    <row r="24" spans="6:26" s="22" customFormat="1" ht="12" outlineLevel="2">
      <c r="F24" s="17">
        <v>23</v>
      </c>
      <c r="G24" s="18" t="s">
        <v>5</v>
      </c>
      <c r="H24" s="19" t="s">
        <v>40</v>
      </c>
      <c r="I24" s="19"/>
      <c r="J24" s="20" t="s">
        <v>69</v>
      </c>
      <c r="K24" s="18" t="s">
        <v>7</v>
      </c>
      <c r="L24" s="5">
        <f>L23</f>
        <v>103.428</v>
      </c>
      <c r="M24" s="12">
        <v>0</v>
      </c>
      <c r="N24" s="5">
        <f>L24*(1+M24/100)</f>
        <v>103.428</v>
      </c>
      <c r="O24" s="13"/>
      <c r="P24" s="15">
        <f>N24*O24</f>
        <v>0</v>
      </c>
      <c r="Q24" s="21"/>
      <c r="R24" s="12"/>
      <c r="S24" s="21"/>
      <c r="T24" s="12">
        <f>N24*S24</f>
        <v>0</v>
      </c>
      <c r="U24" s="15">
        <v>21</v>
      </c>
      <c r="V24" s="15">
        <f>P24*(U24/100)</f>
        <v>0</v>
      </c>
      <c r="W24" s="15">
        <f>P24+V24</f>
        <v>0</v>
      </c>
      <c r="X24" s="20"/>
      <c r="Y24" s="19" t="s">
        <v>21</v>
      </c>
      <c r="Z24" s="19" t="s">
        <v>17</v>
      </c>
    </row>
    <row r="25" spans="6:26" s="22" customFormat="1" ht="12" outlineLevel="2">
      <c r="F25" s="17">
        <v>24</v>
      </c>
      <c r="G25" s="18" t="s">
        <v>5</v>
      </c>
      <c r="H25" s="19" t="s">
        <v>41</v>
      </c>
      <c r="I25" s="19"/>
      <c r="J25" s="20" t="s">
        <v>64</v>
      </c>
      <c r="K25" s="18" t="s">
        <v>7</v>
      </c>
      <c r="L25" s="5">
        <f>L23</f>
        <v>103.428</v>
      </c>
      <c r="M25" s="12">
        <v>0</v>
      </c>
      <c r="N25" s="5">
        <f>L25*(1+M25/100)</f>
        <v>103.428</v>
      </c>
      <c r="O25" s="13"/>
      <c r="P25" s="15">
        <f>N25*O25</f>
        <v>0</v>
      </c>
      <c r="Q25" s="21"/>
      <c r="R25" s="12"/>
      <c r="S25" s="21"/>
      <c r="T25" s="12">
        <f>N25*S25</f>
        <v>0</v>
      </c>
      <c r="U25" s="15">
        <v>21</v>
      </c>
      <c r="V25" s="15">
        <f>P25*(U25/100)</f>
        <v>0</v>
      </c>
      <c r="W25" s="15">
        <f>P25+V25</f>
        <v>0</v>
      </c>
      <c r="X25" s="20"/>
      <c r="Y25" s="19" t="s">
        <v>21</v>
      </c>
      <c r="Z25" s="19" t="s">
        <v>17</v>
      </c>
    </row>
    <row r="26" spans="6:26" s="22" customFormat="1" ht="24" outlineLevel="2">
      <c r="F26" s="17">
        <v>25</v>
      </c>
      <c r="G26" s="18" t="s">
        <v>5</v>
      </c>
      <c r="H26" s="19" t="s">
        <v>42</v>
      </c>
      <c r="I26" s="19"/>
      <c r="J26" s="20" t="s">
        <v>80</v>
      </c>
      <c r="K26" s="18" t="s">
        <v>3</v>
      </c>
      <c r="L26" s="5">
        <f>1.8*L23</f>
        <v>186.1704</v>
      </c>
      <c r="M26" s="12">
        <v>0</v>
      </c>
      <c r="N26" s="5">
        <f>L26*(1+M26/100)</f>
        <v>186.1704</v>
      </c>
      <c r="O26" s="13"/>
      <c r="P26" s="15">
        <f>N26*O26</f>
        <v>0</v>
      </c>
      <c r="Q26" s="21"/>
      <c r="R26" s="12"/>
      <c r="S26" s="21"/>
      <c r="T26" s="12">
        <f>N26*S26</f>
        <v>0</v>
      </c>
      <c r="U26" s="15">
        <v>21</v>
      </c>
      <c r="V26" s="15">
        <f>P26*(U26/100)</f>
        <v>0</v>
      </c>
      <c r="W26" s="15">
        <f>P26+V26</f>
        <v>0</v>
      </c>
      <c r="X26" s="20"/>
      <c r="Y26" s="19" t="s">
        <v>21</v>
      </c>
      <c r="Z26" s="19" t="s">
        <v>17</v>
      </c>
    </row>
    <row r="27" spans="6:26" s="22" customFormat="1" ht="12" outlineLevel="2">
      <c r="F27" s="17">
        <v>26</v>
      </c>
      <c r="G27" s="18" t="s">
        <v>0</v>
      </c>
      <c r="H27" s="19" t="s">
        <v>27</v>
      </c>
      <c r="I27" s="19"/>
      <c r="J27" s="20" t="s">
        <v>66</v>
      </c>
      <c r="K27" s="18" t="s">
        <v>3</v>
      </c>
      <c r="L27" s="5">
        <f>L23*1.8</f>
        <v>186.1704</v>
      </c>
      <c r="M27" s="12">
        <v>0</v>
      </c>
      <c r="N27" s="5">
        <f>L27*(1+M27/100)</f>
        <v>186.1704</v>
      </c>
      <c r="O27" s="13"/>
      <c r="P27" s="15">
        <f>N27*O27</f>
        <v>0</v>
      </c>
      <c r="Q27" s="21">
        <v>1</v>
      </c>
      <c r="R27" s="12"/>
      <c r="S27" s="21"/>
      <c r="T27" s="12">
        <f>N27*S27</f>
        <v>0</v>
      </c>
      <c r="U27" s="15"/>
      <c r="V27" s="15">
        <f>P27*(U27/100)</f>
        <v>0</v>
      </c>
      <c r="W27" s="15">
        <f>P27+V27</f>
        <v>0</v>
      </c>
      <c r="X27" s="20"/>
      <c r="Y27" s="19" t="s">
        <v>21</v>
      </c>
      <c r="Z27" s="19" t="s">
        <v>17</v>
      </c>
    </row>
    <row r="28" spans="6:26" s="59" customFormat="1" ht="12.75" customHeight="1" outlineLevel="2">
      <c r="F28" s="53"/>
      <c r="G28" s="54"/>
      <c r="H28" s="54"/>
      <c r="I28" s="54"/>
      <c r="J28" s="55"/>
      <c r="K28" s="54"/>
      <c r="L28" s="6"/>
      <c r="M28" s="14"/>
      <c r="N28" s="6"/>
      <c r="O28" s="14"/>
      <c r="P28" s="56"/>
      <c r="Q28" s="57"/>
      <c r="R28" s="14"/>
      <c r="S28" s="14"/>
      <c r="T28" s="14"/>
      <c r="U28" s="58" t="s">
        <v>1</v>
      </c>
      <c r="V28" s="14"/>
      <c r="W28" s="14"/>
      <c r="X28" s="14"/>
      <c r="Y28" s="54"/>
      <c r="Z28" s="54"/>
    </row>
    <row r="29" spans="6:26" s="32" customFormat="1" ht="16.5" customHeight="1" outlineLevel="1">
      <c r="F29" s="23"/>
      <c r="G29" s="24"/>
      <c r="H29" s="25"/>
      <c r="I29" s="25"/>
      <c r="J29" s="25" t="s">
        <v>54</v>
      </c>
      <c r="K29" s="24"/>
      <c r="L29" s="4"/>
      <c r="M29" s="11"/>
      <c r="N29" s="4"/>
      <c r="O29" s="11"/>
      <c r="P29" s="26">
        <f>SUBTOTAL(9,P30:P31)</f>
        <v>0</v>
      </c>
      <c r="Q29" s="27"/>
      <c r="R29" s="28"/>
      <c r="S29" s="11"/>
      <c r="T29" s="28">
        <f>SUBTOTAL(9,T30:T31)</f>
        <v>0</v>
      </c>
      <c r="U29" s="29" t="s">
        <v>1</v>
      </c>
      <c r="V29" s="26">
        <f>SUBTOTAL(9,V30:V31)</f>
        <v>0</v>
      </c>
      <c r="W29" s="26">
        <f>SUBTOTAL(9,W30:W31)</f>
        <v>0</v>
      </c>
      <c r="X29" s="30"/>
      <c r="Y29" s="31"/>
      <c r="Z29" s="31"/>
    </row>
    <row r="30" spans="6:26" s="22" customFormat="1" ht="24" outlineLevel="2">
      <c r="F30" s="17">
        <v>27</v>
      </c>
      <c r="G30" s="18" t="s">
        <v>5</v>
      </c>
      <c r="H30" s="19" t="s">
        <v>46</v>
      </c>
      <c r="I30" s="19"/>
      <c r="J30" s="20" t="s">
        <v>84</v>
      </c>
      <c r="K30" s="18" t="s">
        <v>2</v>
      </c>
      <c r="L30" s="5">
        <f>(1*87)+1*(4+13+2+2.5+2.5+6.5+3*2.5)</f>
        <v>125</v>
      </c>
      <c r="M30" s="12">
        <v>0</v>
      </c>
      <c r="N30" s="5">
        <f>L30*(1+M30/100)</f>
        <v>125</v>
      </c>
      <c r="O30" s="13"/>
      <c r="P30" s="15">
        <f>N30*O30</f>
        <v>0</v>
      </c>
      <c r="Q30" s="21">
        <v>0.22657</v>
      </c>
      <c r="R30" s="12"/>
      <c r="S30" s="21"/>
      <c r="T30" s="12">
        <f>N30*S30</f>
        <v>0</v>
      </c>
      <c r="U30" s="15"/>
      <c r="V30" s="15">
        <f>P30*(U30/100)</f>
        <v>0</v>
      </c>
      <c r="W30" s="15">
        <f>P30+V30</f>
        <v>0</v>
      </c>
      <c r="X30" s="20"/>
      <c r="Y30" s="19" t="s">
        <v>21</v>
      </c>
      <c r="Z30" s="19" t="s">
        <v>9</v>
      </c>
    </row>
    <row r="31" spans="6:26" s="59" customFormat="1" ht="12.75" customHeight="1" outlineLevel="2">
      <c r="F31" s="53"/>
      <c r="G31" s="54"/>
      <c r="H31" s="54"/>
      <c r="I31" s="54"/>
      <c r="J31" s="55"/>
      <c r="K31" s="54"/>
      <c r="L31" s="6"/>
      <c r="M31" s="14"/>
      <c r="N31" s="6"/>
      <c r="O31" s="14"/>
      <c r="P31" s="56"/>
      <c r="Q31" s="57"/>
      <c r="R31" s="14"/>
      <c r="S31" s="14"/>
      <c r="T31" s="14"/>
      <c r="U31" s="58" t="s">
        <v>1</v>
      </c>
      <c r="V31" s="14"/>
      <c r="W31" s="14"/>
      <c r="X31" s="14"/>
      <c r="Y31" s="54"/>
      <c r="Z31" s="54"/>
    </row>
    <row r="32" spans="6:26" s="32" customFormat="1" ht="16.5" customHeight="1" outlineLevel="1">
      <c r="F32" s="23"/>
      <c r="G32" s="24"/>
      <c r="H32" s="25"/>
      <c r="I32" s="25"/>
      <c r="J32" s="25" t="s">
        <v>60</v>
      </c>
      <c r="K32" s="24"/>
      <c r="L32" s="4"/>
      <c r="M32" s="11"/>
      <c r="N32" s="4"/>
      <c r="O32" s="11"/>
      <c r="P32" s="26">
        <f>SUBTOTAL(9,P33:P34)</f>
        <v>0</v>
      </c>
      <c r="Q32" s="27"/>
      <c r="R32" s="28"/>
      <c r="S32" s="11"/>
      <c r="T32" s="28">
        <f>SUBTOTAL(9,T33:T34)</f>
        <v>0</v>
      </c>
      <c r="U32" s="29" t="s">
        <v>1</v>
      </c>
      <c r="V32" s="26">
        <f>SUBTOTAL(9,V33:V34)</f>
        <v>0</v>
      </c>
      <c r="W32" s="26">
        <f>SUBTOTAL(9,W33:W34)</f>
        <v>0</v>
      </c>
      <c r="X32" s="30"/>
      <c r="Y32" s="31"/>
      <c r="Z32" s="31"/>
    </row>
    <row r="33" spans="6:26" s="22" customFormat="1" ht="12" outlineLevel="2">
      <c r="F33" s="17">
        <v>28</v>
      </c>
      <c r="G33" s="18" t="s">
        <v>5</v>
      </c>
      <c r="H33" s="19" t="s">
        <v>47</v>
      </c>
      <c r="I33" s="19"/>
      <c r="J33" s="20" t="s">
        <v>68</v>
      </c>
      <c r="K33" s="18" t="s">
        <v>7</v>
      </c>
      <c r="L33" s="5">
        <f>0.1*((0.9*87)+0.9*(4+13+2+2.5+2.5+6.5+3*2.5))</f>
        <v>11.25</v>
      </c>
      <c r="M33" s="12">
        <v>0</v>
      </c>
      <c r="N33" s="5">
        <f>L33*(1+M33/100)</f>
        <v>11.25</v>
      </c>
      <c r="O33" s="13"/>
      <c r="P33" s="15">
        <f>N33*O33</f>
        <v>0</v>
      </c>
      <c r="Q33" s="21">
        <v>1.89077</v>
      </c>
      <c r="R33" s="12"/>
      <c r="S33" s="21"/>
      <c r="T33" s="12">
        <f>N33*S33</f>
        <v>0</v>
      </c>
      <c r="U33" s="15">
        <v>21</v>
      </c>
      <c r="V33" s="15">
        <f>P33*(U33/100)</f>
        <v>0</v>
      </c>
      <c r="W33" s="15">
        <f>P33+V33</f>
        <v>0</v>
      </c>
      <c r="X33" s="20"/>
      <c r="Y33" s="19" t="s">
        <v>21</v>
      </c>
      <c r="Z33" s="19" t="s">
        <v>10</v>
      </c>
    </row>
    <row r="34" spans="6:26" s="22" customFormat="1" ht="12" outlineLevel="2">
      <c r="F34" s="17">
        <v>29</v>
      </c>
      <c r="G34" s="18" t="s">
        <v>5</v>
      </c>
      <c r="H34" s="19" t="s">
        <v>24</v>
      </c>
      <c r="I34" s="19"/>
      <c r="J34" s="20" t="s">
        <v>96</v>
      </c>
      <c r="K34" s="18" t="s">
        <v>2</v>
      </c>
      <c r="L34" s="5">
        <v>125</v>
      </c>
      <c r="M34" s="12">
        <v>0</v>
      </c>
      <c r="N34" s="5">
        <f>L34*(1+M34/100)</f>
        <v>125</v>
      </c>
      <c r="O34" s="13"/>
      <c r="P34" s="15">
        <f>N34*O34</f>
        <v>0</v>
      </c>
      <c r="Q34" s="21"/>
      <c r="R34" s="12"/>
      <c r="S34" s="21"/>
      <c r="T34" s="12">
        <f>N34*S34</f>
        <v>0</v>
      </c>
      <c r="U34" s="15">
        <v>21</v>
      </c>
      <c r="V34" s="15">
        <f>P34*(U34/100)</f>
        <v>0</v>
      </c>
      <c r="W34" s="15">
        <f>P34+V34</f>
        <v>0</v>
      </c>
      <c r="X34" s="20"/>
      <c r="Y34" s="19" t="s">
        <v>21</v>
      </c>
      <c r="Z34" s="19" t="s">
        <v>10</v>
      </c>
    </row>
    <row r="35" spans="6:26" s="32" customFormat="1" ht="13.5" customHeight="1" outlineLevel="1">
      <c r="F35" s="23"/>
      <c r="G35" s="24"/>
      <c r="H35" s="25"/>
      <c r="I35" s="25"/>
      <c r="J35" s="25" t="s">
        <v>59</v>
      </c>
      <c r="K35" s="24"/>
      <c r="L35" s="4"/>
      <c r="M35" s="11"/>
      <c r="N35" s="4"/>
      <c r="O35" s="11"/>
      <c r="P35" s="26">
        <f>SUBTOTAL(9,P36:P46)</f>
        <v>0</v>
      </c>
      <c r="Q35" s="27"/>
      <c r="R35" s="28"/>
      <c r="S35" s="11"/>
      <c r="T35" s="28">
        <f>SUBTOTAL(9,T36:T46)</f>
        <v>0</v>
      </c>
      <c r="U35" s="29" t="s">
        <v>1</v>
      </c>
      <c r="V35" s="26">
        <f>SUBTOTAL(9,V36:V46)</f>
        <v>0</v>
      </c>
      <c r="W35" s="26">
        <f>SUBTOTAL(9,W36:W46)</f>
        <v>0</v>
      </c>
      <c r="X35" s="30"/>
      <c r="Y35" s="31"/>
      <c r="Z35" s="31"/>
    </row>
    <row r="36" spans="6:26" s="22" customFormat="1" ht="24" outlineLevel="2">
      <c r="F36" s="17">
        <v>33</v>
      </c>
      <c r="G36" s="18" t="s">
        <v>5</v>
      </c>
      <c r="H36" s="19"/>
      <c r="I36" s="19"/>
      <c r="J36" s="20" t="s">
        <v>263</v>
      </c>
      <c r="K36" s="18" t="s">
        <v>2</v>
      </c>
      <c r="L36" s="5">
        <v>87</v>
      </c>
      <c r="M36" s="12">
        <v>0</v>
      </c>
      <c r="N36" s="5">
        <f aca="true" t="shared" si="5" ref="N36:N52">L36*(1+M36/100)</f>
        <v>87</v>
      </c>
      <c r="O36" s="13"/>
      <c r="P36" s="15">
        <f aca="true" t="shared" si="6" ref="P36:P46">N36*O36</f>
        <v>0</v>
      </c>
      <c r="Q36" s="21"/>
      <c r="R36" s="12"/>
      <c r="S36" s="21"/>
      <c r="T36" s="12"/>
      <c r="U36" s="15"/>
      <c r="V36" s="15"/>
      <c r="W36" s="15"/>
      <c r="X36" s="20"/>
      <c r="Y36" s="19"/>
      <c r="Z36" s="19"/>
    </row>
    <row r="37" spans="6:26" s="22" customFormat="1" ht="24" outlineLevel="2">
      <c r="F37" s="17">
        <v>34</v>
      </c>
      <c r="G37" s="18"/>
      <c r="H37" s="19"/>
      <c r="I37" s="19"/>
      <c r="J37" s="20" t="s">
        <v>264</v>
      </c>
      <c r="K37" s="18" t="s">
        <v>2</v>
      </c>
      <c r="L37" s="5">
        <v>28.3</v>
      </c>
      <c r="M37" s="12">
        <v>0</v>
      </c>
      <c r="N37" s="5">
        <f t="shared" si="5"/>
        <v>28.3</v>
      </c>
      <c r="O37" s="13"/>
      <c r="P37" s="15">
        <f t="shared" si="6"/>
        <v>0</v>
      </c>
      <c r="Q37" s="21"/>
      <c r="R37" s="12"/>
      <c r="S37" s="21"/>
      <c r="T37" s="12"/>
      <c r="U37" s="15"/>
      <c r="V37" s="15"/>
      <c r="W37" s="15"/>
      <c r="X37" s="20"/>
      <c r="Y37" s="19"/>
      <c r="Z37" s="19"/>
    </row>
    <row r="38" spans="6:26" s="22" customFormat="1" ht="12" outlineLevel="2">
      <c r="F38" s="17">
        <v>33</v>
      </c>
      <c r="G38" s="18" t="s">
        <v>5</v>
      </c>
      <c r="H38" s="19"/>
      <c r="I38" s="19"/>
      <c r="J38" s="20" t="s">
        <v>265</v>
      </c>
      <c r="K38" s="18" t="s">
        <v>2</v>
      </c>
      <c r="L38" s="5">
        <v>23</v>
      </c>
      <c r="M38" s="12">
        <v>0</v>
      </c>
      <c r="N38" s="5">
        <f>L38*(1+M38/100)</f>
        <v>23</v>
      </c>
      <c r="O38" s="13"/>
      <c r="P38" s="15">
        <f t="shared" si="6"/>
        <v>0</v>
      </c>
      <c r="Q38" s="21"/>
      <c r="R38" s="12"/>
      <c r="S38" s="21"/>
      <c r="T38" s="12"/>
      <c r="U38" s="15"/>
      <c r="V38" s="15"/>
      <c r="W38" s="15"/>
      <c r="X38" s="20"/>
      <c r="Y38" s="19"/>
      <c r="Z38" s="19"/>
    </row>
    <row r="39" spans="6:26" s="22" customFormat="1" ht="12" outlineLevel="2">
      <c r="F39" s="17">
        <v>34</v>
      </c>
      <c r="G39" s="18"/>
      <c r="H39" s="19"/>
      <c r="I39" s="19"/>
      <c r="J39" s="20" t="s">
        <v>266</v>
      </c>
      <c r="K39" s="18" t="s">
        <v>2</v>
      </c>
      <c r="L39" s="5">
        <v>6.5</v>
      </c>
      <c r="M39" s="12">
        <v>0</v>
      </c>
      <c r="N39" s="5">
        <f>L39*(1+M39/100)</f>
        <v>6.5</v>
      </c>
      <c r="O39" s="13"/>
      <c r="P39" s="15">
        <f t="shared" si="6"/>
        <v>0</v>
      </c>
      <c r="Q39" s="21"/>
      <c r="R39" s="12"/>
      <c r="S39" s="21"/>
      <c r="T39" s="12"/>
      <c r="U39" s="15"/>
      <c r="V39" s="15"/>
      <c r="W39" s="15"/>
      <c r="X39" s="20"/>
      <c r="Y39" s="19"/>
      <c r="Z39" s="19"/>
    </row>
    <row r="40" spans="6:26" s="22" customFormat="1" ht="12" outlineLevel="2">
      <c r="F40" s="17">
        <v>35</v>
      </c>
      <c r="G40" s="18"/>
      <c r="H40" s="19" t="s">
        <v>97</v>
      </c>
      <c r="I40" s="19"/>
      <c r="J40" s="20" t="s">
        <v>106</v>
      </c>
      <c r="K40" s="18" t="s">
        <v>2</v>
      </c>
      <c r="L40" s="5">
        <f>L36+L37+L38+L39</f>
        <v>144.8</v>
      </c>
      <c r="M40" s="12"/>
      <c r="N40" s="5">
        <f t="shared" si="5"/>
        <v>144.8</v>
      </c>
      <c r="O40" s="13"/>
      <c r="P40" s="15">
        <f t="shared" si="6"/>
        <v>0</v>
      </c>
      <c r="Q40" s="21"/>
      <c r="R40" s="12"/>
      <c r="S40" s="21"/>
      <c r="T40" s="12"/>
      <c r="U40" s="15"/>
      <c r="V40" s="15"/>
      <c r="W40" s="15"/>
      <c r="X40" s="20"/>
      <c r="Y40" s="19"/>
      <c r="Z40" s="19"/>
    </row>
    <row r="41" spans="6:26" s="22" customFormat="1" ht="12" outlineLevel="2">
      <c r="F41" s="17">
        <v>36</v>
      </c>
      <c r="G41" s="18"/>
      <c r="H41" s="19"/>
      <c r="I41" s="19"/>
      <c r="J41" s="20" t="s">
        <v>111</v>
      </c>
      <c r="K41" s="18" t="s">
        <v>2</v>
      </c>
      <c r="L41" s="5">
        <f>L40</f>
        <v>144.8</v>
      </c>
      <c r="M41" s="12">
        <v>0</v>
      </c>
      <c r="N41" s="5">
        <f t="shared" si="5"/>
        <v>144.8</v>
      </c>
      <c r="O41" s="13"/>
      <c r="P41" s="15">
        <f t="shared" si="6"/>
        <v>0</v>
      </c>
      <c r="Q41" s="21"/>
      <c r="R41" s="12"/>
      <c r="S41" s="21"/>
      <c r="T41" s="12"/>
      <c r="U41" s="15"/>
      <c r="V41" s="15"/>
      <c r="W41" s="15"/>
      <c r="X41" s="20"/>
      <c r="Y41" s="19"/>
      <c r="Z41" s="19"/>
    </row>
    <row r="42" spans="6:26" s="22" customFormat="1" ht="12" outlineLevel="2">
      <c r="F42" s="17">
        <v>37</v>
      </c>
      <c r="G42" s="18" t="s">
        <v>5</v>
      </c>
      <c r="H42" s="19"/>
      <c r="I42" s="19"/>
      <c r="J42" s="20" t="s">
        <v>124</v>
      </c>
      <c r="K42" s="18" t="s">
        <v>15</v>
      </c>
      <c r="L42" s="5">
        <v>7</v>
      </c>
      <c r="M42" s="12">
        <v>0</v>
      </c>
      <c r="N42" s="5">
        <f t="shared" si="5"/>
        <v>7</v>
      </c>
      <c r="O42" s="15"/>
      <c r="P42" s="15">
        <f t="shared" si="6"/>
        <v>0</v>
      </c>
      <c r="Q42" s="21"/>
      <c r="R42" s="12"/>
      <c r="S42" s="21"/>
      <c r="T42" s="12"/>
      <c r="U42" s="15"/>
      <c r="V42" s="15"/>
      <c r="W42" s="15"/>
      <c r="X42" s="20"/>
      <c r="Y42" s="19"/>
      <c r="Z42" s="19"/>
    </row>
    <row r="43" spans="6:26" s="22" customFormat="1" ht="12" outlineLevel="2">
      <c r="F43" s="17">
        <v>38</v>
      </c>
      <c r="G43" s="18"/>
      <c r="H43" s="19"/>
      <c r="I43" s="19"/>
      <c r="J43" s="20" t="s">
        <v>125</v>
      </c>
      <c r="K43" s="18" t="s">
        <v>15</v>
      </c>
      <c r="L43" s="5">
        <v>3</v>
      </c>
      <c r="M43" s="12">
        <v>0</v>
      </c>
      <c r="N43" s="5">
        <f t="shared" si="5"/>
        <v>3</v>
      </c>
      <c r="O43" s="15"/>
      <c r="P43" s="15">
        <f t="shared" si="6"/>
        <v>0</v>
      </c>
      <c r="Q43" s="21"/>
      <c r="R43" s="12"/>
      <c r="S43" s="21"/>
      <c r="T43" s="12"/>
      <c r="U43" s="15"/>
      <c r="V43" s="15"/>
      <c r="W43" s="15"/>
      <c r="X43" s="20"/>
      <c r="Y43" s="19"/>
      <c r="Z43" s="19"/>
    </row>
    <row r="44" spans="6:26" s="22" customFormat="1" ht="12" outlineLevel="2">
      <c r="F44" s="17"/>
      <c r="G44" s="18"/>
      <c r="H44" s="19"/>
      <c r="I44" s="19"/>
      <c r="J44" s="20" t="s">
        <v>127</v>
      </c>
      <c r="K44" s="18" t="s">
        <v>15</v>
      </c>
      <c r="L44" s="5">
        <v>13</v>
      </c>
      <c r="M44" s="12">
        <v>0</v>
      </c>
      <c r="N44" s="5">
        <f t="shared" si="5"/>
        <v>13</v>
      </c>
      <c r="O44" s="15"/>
      <c r="P44" s="15">
        <f t="shared" si="6"/>
        <v>0</v>
      </c>
      <c r="Q44" s="21"/>
      <c r="R44" s="12"/>
      <c r="S44" s="21"/>
      <c r="T44" s="12"/>
      <c r="U44" s="15"/>
      <c r="V44" s="15"/>
      <c r="W44" s="15"/>
      <c r="X44" s="20"/>
      <c r="Y44" s="19"/>
      <c r="Z44" s="19"/>
    </row>
    <row r="45" spans="6:26" s="22" customFormat="1" ht="12" outlineLevel="2">
      <c r="F45" s="17"/>
      <c r="G45" s="18"/>
      <c r="H45" s="19"/>
      <c r="I45" s="19"/>
      <c r="J45" s="20" t="s">
        <v>128</v>
      </c>
      <c r="K45" s="18" t="s">
        <v>15</v>
      </c>
      <c r="L45" s="5">
        <v>2</v>
      </c>
      <c r="M45" s="12">
        <v>0</v>
      </c>
      <c r="N45" s="5">
        <f t="shared" si="5"/>
        <v>2</v>
      </c>
      <c r="O45" s="15"/>
      <c r="P45" s="15">
        <f t="shared" si="6"/>
        <v>0</v>
      </c>
      <c r="Q45" s="21"/>
      <c r="R45" s="12"/>
      <c r="S45" s="21"/>
      <c r="T45" s="12"/>
      <c r="U45" s="15"/>
      <c r="V45" s="15"/>
      <c r="W45" s="15"/>
      <c r="X45" s="20"/>
      <c r="Y45" s="19"/>
      <c r="Z45" s="19"/>
    </row>
    <row r="46" spans="6:26" s="22" customFormat="1" ht="24" outlineLevel="2">
      <c r="F46" s="17">
        <v>39</v>
      </c>
      <c r="G46" s="18" t="s">
        <v>5</v>
      </c>
      <c r="H46" s="19" t="s">
        <v>98</v>
      </c>
      <c r="I46" s="19"/>
      <c r="J46" s="20" t="s">
        <v>126</v>
      </c>
      <c r="K46" s="18" t="s">
        <v>15</v>
      </c>
      <c r="L46" s="5">
        <v>17</v>
      </c>
      <c r="M46" s="12">
        <v>0</v>
      </c>
      <c r="N46" s="5">
        <f t="shared" si="5"/>
        <v>17</v>
      </c>
      <c r="O46" s="13"/>
      <c r="P46" s="15">
        <f t="shared" si="6"/>
        <v>0</v>
      </c>
      <c r="Q46" s="21"/>
      <c r="R46" s="12"/>
      <c r="S46" s="21"/>
      <c r="T46" s="12"/>
      <c r="U46" s="15"/>
      <c r="V46" s="15"/>
      <c r="W46" s="15"/>
      <c r="X46" s="20"/>
      <c r="Y46" s="19"/>
      <c r="Z46" s="19"/>
    </row>
    <row r="47" spans="6:26" s="32" customFormat="1" ht="16.5" customHeight="1" outlineLevel="1">
      <c r="F47" s="17"/>
      <c r="G47" s="24"/>
      <c r="H47" s="25"/>
      <c r="I47" s="25"/>
      <c r="J47" s="25" t="s">
        <v>61</v>
      </c>
      <c r="K47" s="24"/>
      <c r="L47" s="4"/>
      <c r="M47" s="11"/>
      <c r="N47" s="4"/>
      <c r="O47" s="11"/>
      <c r="P47" s="26">
        <f>SUBTOTAL(9,P50:P63)</f>
        <v>0</v>
      </c>
      <c r="Q47" s="27"/>
      <c r="R47" s="28"/>
      <c r="S47" s="11"/>
      <c r="T47" s="28">
        <f>SUBTOTAL(9,T50:T54)</f>
        <v>0</v>
      </c>
      <c r="U47" s="29" t="s">
        <v>1</v>
      </c>
      <c r="V47" s="26">
        <f>SUBTOTAL(9,V50:V54)</f>
        <v>0</v>
      </c>
      <c r="W47" s="26">
        <f>SUBTOTAL(9,W50:W54)</f>
        <v>0</v>
      </c>
      <c r="X47" s="30"/>
      <c r="Y47" s="31"/>
      <c r="Z47" s="31"/>
    </row>
    <row r="48" spans="6:26" s="22" customFormat="1" ht="12" outlineLevel="2">
      <c r="F48" s="17">
        <v>41</v>
      </c>
      <c r="G48" s="18" t="s">
        <v>0</v>
      </c>
      <c r="H48" s="19"/>
      <c r="I48" s="19"/>
      <c r="J48" s="20" t="s">
        <v>261</v>
      </c>
      <c r="K48" s="18" t="s">
        <v>2</v>
      </c>
      <c r="L48" s="5">
        <f>L36+L38</f>
        <v>110</v>
      </c>
      <c r="M48" s="12">
        <v>0</v>
      </c>
      <c r="N48" s="5">
        <f t="shared" si="5"/>
        <v>110</v>
      </c>
      <c r="O48" s="13"/>
      <c r="P48" s="15">
        <f>N48*O48</f>
        <v>0</v>
      </c>
      <c r="Q48" s="21"/>
      <c r="R48" s="12"/>
      <c r="S48" s="21"/>
      <c r="T48" s="12"/>
      <c r="U48" s="15"/>
      <c r="V48" s="15"/>
      <c r="W48" s="15"/>
      <c r="X48" s="20"/>
      <c r="Y48" s="19"/>
      <c r="Z48" s="19"/>
    </row>
    <row r="49" spans="6:26" s="22" customFormat="1" ht="12" outlineLevel="2">
      <c r="F49" s="17">
        <v>42</v>
      </c>
      <c r="G49" s="18" t="s">
        <v>0</v>
      </c>
      <c r="H49" s="19"/>
      <c r="I49" s="19"/>
      <c r="J49" s="20" t="s">
        <v>262</v>
      </c>
      <c r="K49" s="18" t="s">
        <v>2</v>
      </c>
      <c r="L49" s="5">
        <f>L37+L39</f>
        <v>34.8</v>
      </c>
      <c r="M49" s="12">
        <v>0</v>
      </c>
      <c r="N49" s="5">
        <f t="shared" si="5"/>
        <v>34.8</v>
      </c>
      <c r="O49" s="13"/>
      <c r="P49" s="15">
        <f>N49*O49</f>
        <v>0</v>
      </c>
      <c r="Q49" s="21"/>
      <c r="R49" s="12"/>
      <c r="S49" s="21"/>
      <c r="T49" s="12"/>
      <c r="U49" s="15"/>
      <c r="V49" s="15"/>
      <c r="W49" s="15"/>
      <c r="X49" s="20"/>
      <c r="Y49" s="19"/>
      <c r="Z49" s="19"/>
    </row>
    <row r="50" spans="6:26" s="22" customFormat="1" ht="12" outlineLevel="2">
      <c r="F50" s="17">
        <v>44</v>
      </c>
      <c r="G50" s="18" t="s">
        <v>0</v>
      </c>
      <c r="H50" s="19"/>
      <c r="I50" s="19"/>
      <c r="J50" s="20" t="s">
        <v>129</v>
      </c>
      <c r="K50" s="18" t="s">
        <v>15</v>
      </c>
      <c r="L50" s="5">
        <f>10</f>
        <v>10</v>
      </c>
      <c r="M50" s="12">
        <v>0</v>
      </c>
      <c r="N50" s="5">
        <f t="shared" si="5"/>
        <v>10</v>
      </c>
      <c r="O50" s="13"/>
      <c r="P50" s="15">
        <f aca="true" t="shared" si="7" ref="P50:P58">N50*O50</f>
        <v>0</v>
      </c>
      <c r="Q50" s="21">
        <v>0.051</v>
      </c>
      <c r="R50" s="12"/>
      <c r="S50" s="21"/>
      <c r="T50" s="12">
        <f>N50*S50</f>
        <v>0</v>
      </c>
      <c r="U50" s="15">
        <v>21</v>
      </c>
      <c r="V50" s="15">
        <f>P50*(U50/100)</f>
        <v>0</v>
      </c>
      <c r="W50" s="15">
        <f>P50+V50</f>
        <v>0</v>
      </c>
      <c r="X50" s="20"/>
      <c r="Y50" s="19" t="s">
        <v>21</v>
      </c>
      <c r="Z50" s="19" t="s">
        <v>18</v>
      </c>
    </row>
    <row r="51" spans="6:26" s="22" customFormat="1" ht="12" outlineLevel="2">
      <c r="F51" s="17">
        <v>46</v>
      </c>
      <c r="G51" s="18"/>
      <c r="H51" s="19"/>
      <c r="I51" s="19"/>
      <c r="J51" s="20" t="s">
        <v>130</v>
      </c>
      <c r="K51" s="18" t="s">
        <v>15</v>
      </c>
      <c r="L51" s="5">
        <v>7</v>
      </c>
      <c r="M51" s="12"/>
      <c r="N51" s="5">
        <f t="shared" si="5"/>
        <v>7</v>
      </c>
      <c r="O51" s="13"/>
      <c r="P51" s="15">
        <f t="shared" si="7"/>
        <v>0</v>
      </c>
      <c r="Q51" s="21"/>
      <c r="R51" s="12"/>
      <c r="S51" s="21"/>
      <c r="T51" s="12"/>
      <c r="U51" s="15"/>
      <c r="V51" s="15"/>
      <c r="W51" s="15"/>
      <c r="X51" s="20"/>
      <c r="Y51" s="19"/>
      <c r="Z51" s="19"/>
    </row>
    <row r="52" spans="6:26" s="22" customFormat="1" ht="12" outlineLevel="2">
      <c r="F52" s="17">
        <v>47</v>
      </c>
      <c r="G52" s="18" t="s">
        <v>0</v>
      </c>
      <c r="H52" s="19"/>
      <c r="I52" s="19"/>
      <c r="J52" s="20" t="s">
        <v>131</v>
      </c>
      <c r="K52" s="18" t="s">
        <v>15</v>
      </c>
      <c r="L52" s="5">
        <v>3</v>
      </c>
      <c r="M52" s="12">
        <v>0</v>
      </c>
      <c r="N52" s="5">
        <f t="shared" si="5"/>
        <v>3</v>
      </c>
      <c r="O52" s="13"/>
      <c r="P52" s="15">
        <f t="shared" si="7"/>
        <v>0</v>
      </c>
      <c r="Q52" s="21">
        <v>0.028</v>
      </c>
      <c r="R52" s="12"/>
      <c r="S52" s="21"/>
      <c r="T52" s="12">
        <f>N52*S52</f>
        <v>0</v>
      </c>
      <c r="U52" s="15"/>
      <c r="V52" s="15">
        <f>P52*(U52/100)</f>
        <v>0</v>
      </c>
      <c r="W52" s="15">
        <f>P52+V52</f>
        <v>0</v>
      </c>
      <c r="X52" s="20"/>
      <c r="Y52" s="19" t="s">
        <v>21</v>
      </c>
      <c r="Z52" s="19" t="s">
        <v>18</v>
      </c>
    </row>
    <row r="53" spans="6:26" s="22" customFormat="1" ht="12" outlineLevel="2">
      <c r="F53" s="17">
        <v>48</v>
      </c>
      <c r="G53" s="18"/>
      <c r="H53" s="19"/>
      <c r="I53" s="19"/>
      <c r="J53" s="20" t="s">
        <v>132</v>
      </c>
      <c r="K53" s="18" t="s">
        <v>15</v>
      </c>
      <c r="L53" s="5">
        <v>1</v>
      </c>
      <c r="M53" s="12">
        <v>0</v>
      </c>
      <c r="N53" s="5">
        <f aca="true" t="shared" si="8" ref="N53:N63">L53*(1+M53/100)</f>
        <v>1</v>
      </c>
      <c r="O53" s="13"/>
      <c r="P53" s="15">
        <f t="shared" si="7"/>
        <v>0</v>
      </c>
      <c r="Q53" s="21"/>
      <c r="R53" s="12"/>
      <c r="S53" s="21"/>
      <c r="T53" s="12"/>
      <c r="U53" s="15"/>
      <c r="V53" s="15"/>
      <c r="W53" s="15"/>
      <c r="X53" s="20"/>
      <c r="Y53" s="19"/>
      <c r="Z53" s="19"/>
    </row>
    <row r="54" spans="6:26" s="22" customFormat="1" ht="12" outlineLevel="2">
      <c r="F54" s="17">
        <v>49</v>
      </c>
      <c r="G54" s="18"/>
      <c r="H54" s="19"/>
      <c r="I54" s="19"/>
      <c r="J54" s="20" t="s">
        <v>133</v>
      </c>
      <c r="K54" s="18" t="s">
        <v>15</v>
      </c>
      <c r="L54" s="5">
        <v>4</v>
      </c>
      <c r="M54" s="12">
        <v>0</v>
      </c>
      <c r="N54" s="5">
        <f t="shared" si="8"/>
        <v>4</v>
      </c>
      <c r="O54" s="13"/>
      <c r="P54" s="15">
        <f t="shared" si="7"/>
        <v>0</v>
      </c>
      <c r="Q54" s="21"/>
      <c r="R54" s="12"/>
      <c r="S54" s="21"/>
      <c r="T54" s="12"/>
      <c r="U54" s="15"/>
      <c r="V54" s="15"/>
      <c r="W54" s="15"/>
      <c r="X54" s="20"/>
      <c r="Y54" s="19"/>
      <c r="Z54" s="19"/>
    </row>
    <row r="55" spans="6:26" s="22" customFormat="1" ht="12" outlineLevel="2">
      <c r="F55" s="17">
        <v>50</v>
      </c>
      <c r="G55" s="18"/>
      <c r="H55" s="19"/>
      <c r="I55" s="19"/>
      <c r="J55" s="20" t="s">
        <v>134</v>
      </c>
      <c r="K55" s="18" t="s">
        <v>15</v>
      </c>
      <c r="L55" s="5">
        <v>1</v>
      </c>
      <c r="M55" s="12">
        <v>0</v>
      </c>
      <c r="N55" s="5">
        <f t="shared" si="8"/>
        <v>1</v>
      </c>
      <c r="O55" s="13"/>
      <c r="P55" s="15">
        <f t="shared" si="7"/>
        <v>0</v>
      </c>
      <c r="Q55" s="21"/>
      <c r="R55" s="12"/>
      <c r="S55" s="21"/>
      <c r="T55" s="12"/>
      <c r="U55" s="15"/>
      <c r="V55" s="15"/>
      <c r="W55" s="15"/>
      <c r="X55" s="20"/>
      <c r="Y55" s="19"/>
      <c r="Z55" s="19"/>
    </row>
    <row r="56" spans="6:26" s="22" customFormat="1" ht="12" outlineLevel="2">
      <c r="F56" s="17">
        <v>51</v>
      </c>
      <c r="G56" s="18"/>
      <c r="H56" s="19"/>
      <c r="I56" s="19"/>
      <c r="J56" s="20" t="s">
        <v>135</v>
      </c>
      <c r="K56" s="18" t="s">
        <v>15</v>
      </c>
      <c r="L56" s="5">
        <v>1</v>
      </c>
      <c r="M56" s="12">
        <v>0</v>
      </c>
      <c r="N56" s="5">
        <f t="shared" si="8"/>
        <v>1</v>
      </c>
      <c r="O56" s="13"/>
      <c r="P56" s="15">
        <f t="shared" si="7"/>
        <v>0</v>
      </c>
      <c r="Q56" s="21"/>
      <c r="R56" s="12"/>
      <c r="S56" s="21"/>
      <c r="T56" s="12"/>
      <c r="U56" s="15"/>
      <c r="V56" s="15"/>
      <c r="W56" s="15"/>
      <c r="X56" s="20"/>
      <c r="Y56" s="19"/>
      <c r="Z56" s="19"/>
    </row>
    <row r="57" spans="6:26" s="22" customFormat="1" ht="12" outlineLevel="2">
      <c r="F57" s="17">
        <v>52</v>
      </c>
      <c r="G57" s="18"/>
      <c r="H57" s="19"/>
      <c r="I57" s="19"/>
      <c r="J57" s="20" t="s">
        <v>136</v>
      </c>
      <c r="K57" s="18" t="s">
        <v>15</v>
      </c>
      <c r="L57" s="5">
        <v>1</v>
      </c>
      <c r="M57" s="12">
        <v>0</v>
      </c>
      <c r="N57" s="5">
        <f t="shared" si="8"/>
        <v>1</v>
      </c>
      <c r="O57" s="13"/>
      <c r="P57" s="15">
        <f t="shared" si="7"/>
        <v>0</v>
      </c>
      <c r="Q57" s="21"/>
      <c r="R57" s="12"/>
      <c r="S57" s="21"/>
      <c r="T57" s="12"/>
      <c r="U57" s="15"/>
      <c r="V57" s="15"/>
      <c r="W57" s="15"/>
      <c r="X57" s="20"/>
      <c r="Y57" s="19"/>
      <c r="Z57" s="19"/>
    </row>
    <row r="58" spans="6:26" s="22" customFormat="1" ht="12" outlineLevel="2">
      <c r="F58" s="17"/>
      <c r="G58" s="18"/>
      <c r="H58" s="19"/>
      <c r="I58" s="19"/>
      <c r="J58" s="20" t="s">
        <v>137</v>
      </c>
      <c r="K58" s="18" t="s">
        <v>15</v>
      </c>
      <c r="L58" s="5">
        <v>2</v>
      </c>
      <c r="M58" s="12">
        <v>0</v>
      </c>
      <c r="N58" s="5">
        <f>L58*(1+M58/100)</f>
        <v>2</v>
      </c>
      <c r="O58" s="13"/>
      <c r="P58" s="15">
        <f t="shared" si="7"/>
        <v>0</v>
      </c>
      <c r="Q58" s="21"/>
      <c r="R58" s="12"/>
      <c r="S58" s="21"/>
      <c r="T58" s="12"/>
      <c r="U58" s="15"/>
      <c r="V58" s="15"/>
      <c r="W58" s="15"/>
      <c r="X58" s="20"/>
      <c r="Y58" s="19"/>
      <c r="Z58" s="19"/>
    </row>
    <row r="59" spans="6:26" s="22" customFormat="1" ht="12" outlineLevel="2">
      <c r="F59" s="17"/>
      <c r="G59" s="18"/>
      <c r="H59" s="19"/>
      <c r="I59" s="19"/>
      <c r="J59" s="20" t="s">
        <v>138</v>
      </c>
      <c r="K59" s="18" t="s">
        <v>15</v>
      </c>
      <c r="L59" s="5">
        <v>1</v>
      </c>
      <c r="M59" s="12">
        <v>0</v>
      </c>
      <c r="N59" s="5">
        <f>L59*(1+M59/100)</f>
        <v>1</v>
      </c>
      <c r="O59" s="13"/>
      <c r="P59" s="15">
        <f>N59*O59</f>
        <v>0</v>
      </c>
      <c r="Q59" s="21"/>
      <c r="R59" s="12"/>
      <c r="S59" s="21"/>
      <c r="T59" s="12"/>
      <c r="U59" s="15"/>
      <c r="V59" s="15"/>
      <c r="W59" s="15"/>
      <c r="X59" s="20"/>
      <c r="Y59" s="19"/>
      <c r="Z59" s="19"/>
    </row>
    <row r="60" spans="6:26" s="22" customFormat="1" ht="12" outlineLevel="2">
      <c r="F60" s="17"/>
      <c r="G60" s="18"/>
      <c r="H60" s="19"/>
      <c r="I60" s="19"/>
      <c r="J60" s="20" t="s">
        <v>139</v>
      </c>
      <c r="K60" s="18" t="s">
        <v>15</v>
      </c>
      <c r="L60" s="5">
        <v>1</v>
      </c>
      <c r="M60" s="12">
        <v>0</v>
      </c>
      <c r="N60" s="5">
        <f>L60*(1+M60/100)</f>
        <v>1</v>
      </c>
      <c r="O60" s="13"/>
      <c r="P60" s="15">
        <f>N60*O60</f>
        <v>0</v>
      </c>
      <c r="Q60" s="21"/>
      <c r="R60" s="12"/>
      <c r="S60" s="21"/>
      <c r="T60" s="12"/>
      <c r="U60" s="15"/>
      <c r="V60" s="15"/>
      <c r="W60" s="15"/>
      <c r="X60" s="20"/>
      <c r="Y60" s="19"/>
      <c r="Z60" s="19"/>
    </row>
    <row r="61" spans="6:26" s="22" customFormat="1" ht="12" outlineLevel="2">
      <c r="F61" s="17"/>
      <c r="G61" s="18"/>
      <c r="H61" s="19"/>
      <c r="I61" s="19"/>
      <c r="J61" s="20" t="s">
        <v>140</v>
      </c>
      <c r="K61" s="18" t="s">
        <v>15</v>
      </c>
      <c r="L61" s="5">
        <v>1</v>
      </c>
      <c r="M61" s="12">
        <v>0</v>
      </c>
      <c r="N61" s="5">
        <f>L61*(1+M61/100)</f>
        <v>1</v>
      </c>
      <c r="O61" s="13"/>
      <c r="P61" s="15">
        <f>N61*O61</f>
        <v>0</v>
      </c>
      <c r="Q61" s="21"/>
      <c r="R61" s="12"/>
      <c r="S61" s="21"/>
      <c r="T61" s="12"/>
      <c r="U61" s="15"/>
      <c r="V61" s="15"/>
      <c r="W61" s="15"/>
      <c r="X61" s="20"/>
      <c r="Y61" s="19"/>
      <c r="Z61" s="19"/>
    </row>
    <row r="62" spans="6:26" s="22" customFormat="1" ht="12" outlineLevel="2">
      <c r="F62" s="17">
        <v>53</v>
      </c>
      <c r="G62" s="18"/>
      <c r="H62" s="19"/>
      <c r="I62" s="19"/>
      <c r="J62" s="20" t="s">
        <v>141</v>
      </c>
      <c r="K62" s="18" t="s">
        <v>15</v>
      </c>
      <c r="L62" s="5">
        <v>1</v>
      </c>
      <c r="M62" s="12">
        <v>0</v>
      </c>
      <c r="N62" s="5">
        <f>L62*(1+M62/100)</f>
        <v>1</v>
      </c>
      <c r="O62" s="13"/>
      <c r="P62" s="15">
        <f>N62*O62</f>
        <v>0</v>
      </c>
      <c r="Q62" s="21"/>
      <c r="R62" s="12"/>
      <c r="S62" s="21"/>
      <c r="T62" s="12"/>
      <c r="U62" s="15"/>
      <c r="V62" s="15"/>
      <c r="W62" s="15"/>
      <c r="X62" s="20"/>
      <c r="Y62" s="19"/>
      <c r="Z62" s="19"/>
    </row>
    <row r="63" spans="6:26" s="22" customFormat="1" ht="12" outlineLevel="2">
      <c r="F63" s="17">
        <v>53</v>
      </c>
      <c r="G63" s="18"/>
      <c r="H63" s="19"/>
      <c r="I63" s="19"/>
      <c r="J63" s="20" t="s">
        <v>141</v>
      </c>
      <c r="K63" s="18" t="s">
        <v>15</v>
      </c>
      <c r="L63" s="5">
        <v>1</v>
      </c>
      <c r="M63" s="12">
        <v>0</v>
      </c>
      <c r="N63" s="5">
        <f t="shared" si="8"/>
        <v>1</v>
      </c>
      <c r="O63" s="13"/>
      <c r="P63" s="15">
        <f>N63*O63</f>
        <v>0</v>
      </c>
      <c r="Q63" s="21"/>
      <c r="R63" s="12"/>
      <c r="S63" s="21"/>
      <c r="T63" s="12"/>
      <c r="U63" s="15"/>
      <c r="V63" s="15"/>
      <c r="W63" s="15"/>
      <c r="X63" s="20"/>
      <c r="Y63" s="19"/>
      <c r="Z63" s="19"/>
    </row>
    <row r="64" spans="6:26" s="59" customFormat="1" ht="12.75" customHeight="1" outlineLevel="2">
      <c r="F64" s="53">
        <v>57</v>
      </c>
      <c r="G64" s="54"/>
      <c r="H64" s="54"/>
      <c r="I64" s="54"/>
      <c r="J64" s="55"/>
      <c r="K64" s="54"/>
      <c r="L64" s="6"/>
      <c r="M64" s="14"/>
      <c r="N64" s="6"/>
      <c r="O64" s="14"/>
      <c r="P64" s="56"/>
      <c r="Q64" s="57"/>
      <c r="R64" s="14"/>
      <c r="S64" s="14"/>
      <c r="T64" s="14"/>
      <c r="U64" s="58" t="s">
        <v>1</v>
      </c>
      <c r="V64" s="14"/>
      <c r="W64" s="14"/>
      <c r="X64" s="14"/>
      <c r="Y64" s="54"/>
      <c r="Z64" s="54"/>
    </row>
    <row r="65" spans="6:26" s="32" customFormat="1" ht="16.5" customHeight="1" outlineLevel="1">
      <c r="F65" s="23"/>
      <c r="G65" s="24"/>
      <c r="H65" s="25"/>
      <c r="I65" s="25"/>
      <c r="J65" s="25" t="s">
        <v>63</v>
      </c>
      <c r="K65" s="24"/>
      <c r="L65" s="4"/>
      <c r="M65" s="11"/>
      <c r="N65" s="4"/>
      <c r="O65" s="11"/>
      <c r="P65" s="26">
        <f>SUBTOTAL(9,P66:P67)</f>
        <v>0</v>
      </c>
      <c r="Q65" s="27"/>
      <c r="R65" s="28"/>
      <c r="S65" s="11"/>
      <c r="T65" s="28">
        <f>SUBTOTAL(9,T66:T67)</f>
        <v>0</v>
      </c>
      <c r="U65" s="29" t="s">
        <v>1</v>
      </c>
      <c r="V65" s="26">
        <f>SUBTOTAL(9,V66:V67)</f>
        <v>0</v>
      </c>
      <c r="W65" s="26">
        <f>SUBTOTAL(9,W66:W67)</f>
        <v>0</v>
      </c>
      <c r="X65" s="30"/>
      <c r="Y65" s="31"/>
      <c r="Z65" s="31"/>
    </row>
    <row r="66" spans="6:26" s="22" customFormat="1" ht="12" outlineLevel="2">
      <c r="F66" s="17">
        <v>54</v>
      </c>
      <c r="G66" s="18" t="s">
        <v>5</v>
      </c>
      <c r="H66" s="19" t="s">
        <v>48</v>
      </c>
      <c r="I66" s="19"/>
      <c r="J66" s="20" t="s">
        <v>82</v>
      </c>
      <c r="K66" s="18" t="s">
        <v>3</v>
      </c>
      <c r="L66" s="5">
        <v>10</v>
      </c>
      <c r="M66" s="12">
        <v>0</v>
      </c>
      <c r="N66" s="5">
        <f>L66*(1+M66/100)</f>
        <v>10</v>
      </c>
      <c r="O66" s="13"/>
      <c r="P66" s="15">
        <f>N66*O66</f>
        <v>0</v>
      </c>
      <c r="Q66" s="21"/>
      <c r="R66" s="12"/>
      <c r="S66" s="21"/>
      <c r="T66" s="12">
        <f>N66*S66</f>
        <v>0</v>
      </c>
      <c r="U66" s="15">
        <v>21</v>
      </c>
      <c r="V66" s="15">
        <f>P66*(U66/100)</f>
        <v>0</v>
      </c>
      <c r="W66" s="15">
        <f>P66+V66</f>
        <v>0</v>
      </c>
      <c r="X66" s="20"/>
      <c r="Y66" s="19" t="s">
        <v>21</v>
      </c>
      <c r="Z66" s="19" t="s">
        <v>11</v>
      </c>
    </row>
    <row r="67" spans="6:26" s="59" customFormat="1" ht="12.75" customHeight="1" outlineLevel="2">
      <c r="F67" s="53"/>
      <c r="G67" s="54"/>
      <c r="H67" s="145" t="s">
        <v>251</v>
      </c>
      <c r="I67" s="167" t="s">
        <v>252</v>
      </c>
      <c r="J67" s="168"/>
      <c r="K67" s="168"/>
      <c r="L67" s="168"/>
      <c r="M67" s="168"/>
      <c r="N67" s="168"/>
      <c r="O67" s="168"/>
      <c r="P67" s="168"/>
      <c r="Q67" s="57"/>
      <c r="R67" s="14"/>
      <c r="S67" s="14"/>
      <c r="T67" s="14"/>
      <c r="U67" s="58" t="s">
        <v>1</v>
      </c>
      <c r="V67" s="14"/>
      <c r="W67" s="14"/>
      <c r="X67" s="14"/>
      <c r="Y67" s="54"/>
      <c r="Z67" s="54"/>
    </row>
  </sheetData>
  <sheetProtection/>
  <mergeCells count="1">
    <mergeCell ref="I67:P67"/>
  </mergeCells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90" r:id="rId1"/>
  <headerFooter alignWithMargins="0">
    <oddFooter>&amp;L&amp;8www.euroCALC.cz&amp;C&amp;8&amp;P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F1:Z73"/>
  <sheetViews>
    <sheetView tabSelected="1" zoomScaleSheetLayoutView="100" zoomScalePageLayoutView="0" workbookViewId="0" topLeftCell="F1">
      <pane ySplit="3" topLeftCell="A34" activePane="bottomLeft" state="frozen"/>
      <selection pane="topLeft" activeCell="A1" sqref="A1"/>
      <selection pane="bottomLeft" activeCell="P42" sqref="P42"/>
    </sheetView>
  </sheetViews>
  <sheetFormatPr defaultColWidth="9.140625" defaultRowHeight="12.75" outlineLevelRow="2"/>
  <cols>
    <col min="1" max="5" width="0" style="37" hidden="1" customWidth="1"/>
    <col min="6" max="6" width="5.8515625" style="60" customWidth="1"/>
    <col min="7" max="7" width="4.28125" style="64" customWidth="1"/>
    <col min="8" max="8" width="14.28125" style="61" customWidth="1"/>
    <col min="9" max="9" width="10.00390625" style="61" hidden="1" customWidth="1"/>
    <col min="10" max="10" width="57.140625" style="65" customWidth="1"/>
    <col min="11" max="11" width="6.57421875" style="64" bestFit="1" customWidth="1"/>
    <col min="12" max="12" width="13.7109375" style="1" customWidth="1"/>
    <col min="13" max="13" width="6.8515625" style="16" customWidth="1"/>
    <col min="14" max="14" width="13.421875" style="1" customWidth="1"/>
    <col min="15" max="15" width="12.421875" style="16" customWidth="1"/>
    <col min="16" max="16" width="15.7109375" style="62" customWidth="1"/>
    <col min="17" max="17" width="11.421875" style="63" hidden="1" customWidth="1"/>
    <col min="18" max="18" width="14.28125" style="16" customWidth="1"/>
    <col min="19" max="19" width="11.421875" style="16" hidden="1" customWidth="1"/>
    <col min="20" max="20" width="14.28125" style="16" hidden="1" customWidth="1"/>
    <col min="21" max="21" width="9.7109375" style="16" hidden="1" customWidth="1"/>
    <col min="22" max="22" width="14.57421875" style="16" hidden="1" customWidth="1"/>
    <col min="23" max="23" width="15.7109375" style="16" hidden="1" customWidth="1"/>
    <col min="24" max="24" width="25.7109375" style="16" hidden="1" customWidth="1"/>
    <col min="25" max="26" width="10.00390625" style="61" hidden="1" customWidth="1"/>
    <col min="27" max="27" width="9.421875" style="37" customWidth="1"/>
    <col min="28" max="16384" width="9.140625" style="37" customWidth="1"/>
  </cols>
  <sheetData>
    <row r="1" spans="6:26" ht="21" customHeight="1">
      <c r="F1" s="33"/>
      <c r="G1" s="34"/>
      <c r="H1" s="34"/>
      <c r="I1" s="34"/>
      <c r="J1" s="34"/>
      <c r="K1" s="34"/>
      <c r="L1" s="2"/>
      <c r="M1" s="7"/>
      <c r="N1" s="2"/>
      <c r="O1" s="7"/>
      <c r="P1" s="35"/>
      <c r="Q1" s="36"/>
      <c r="R1" s="7"/>
      <c r="S1" s="7"/>
      <c r="T1" s="7"/>
      <c r="U1" s="7"/>
      <c r="V1" s="7"/>
      <c r="W1" s="7"/>
      <c r="X1" s="7"/>
      <c r="Y1" s="34"/>
      <c r="Z1" s="34"/>
    </row>
    <row r="2" spans="6:26" ht="21" customHeight="1">
      <c r="F2" s="33"/>
      <c r="G2" s="34"/>
      <c r="H2" s="34"/>
      <c r="I2" s="34"/>
      <c r="J2" s="34"/>
      <c r="K2" s="34"/>
      <c r="L2" s="2"/>
      <c r="M2" s="7"/>
      <c r="N2" s="2"/>
      <c r="O2" s="7"/>
      <c r="P2" s="35"/>
      <c r="Q2" s="36"/>
      <c r="R2" s="7"/>
      <c r="S2" s="7"/>
      <c r="T2" s="7"/>
      <c r="U2" s="7"/>
      <c r="V2" s="7"/>
      <c r="W2" s="7"/>
      <c r="X2" s="7"/>
      <c r="Y2" s="34"/>
      <c r="Z2" s="34"/>
    </row>
    <row r="3" spans="6:26" s="39" customFormat="1" ht="13.5" thickBot="1">
      <c r="F3" s="8" t="s">
        <v>26</v>
      </c>
      <c r="G3" s="8" t="s">
        <v>14</v>
      </c>
      <c r="H3" s="8" t="s">
        <v>13</v>
      </c>
      <c r="I3" s="8" t="s">
        <v>50</v>
      </c>
      <c r="J3" s="38" t="s">
        <v>20</v>
      </c>
      <c r="K3" s="8" t="s">
        <v>4</v>
      </c>
      <c r="L3" s="8" t="s">
        <v>62</v>
      </c>
      <c r="M3" s="8" t="s">
        <v>25</v>
      </c>
      <c r="N3" s="8" t="s">
        <v>53</v>
      </c>
      <c r="O3" s="8" t="s">
        <v>52</v>
      </c>
      <c r="P3" s="8" t="s">
        <v>16</v>
      </c>
      <c r="Q3" s="8" t="s">
        <v>55</v>
      </c>
      <c r="R3" s="8" t="s">
        <v>29</v>
      </c>
      <c r="S3" s="8" t="s">
        <v>58</v>
      </c>
      <c r="T3" s="8" t="s">
        <v>22</v>
      </c>
      <c r="U3" s="8" t="s">
        <v>49</v>
      </c>
      <c r="V3" s="8" t="s">
        <v>12</v>
      </c>
      <c r="W3" s="8" t="s">
        <v>51</v>
      </c>
      <c r="X3" s="38" t="s">
        <v>56</v>
      </c>
      <c r="Y3" s="8" t="s">
        <v>23</v>
      </c>
      <c r="Z3" s="8" t="s">
        <v>19</v>
      </c>
    </row>
    <row r="4" spans="6:26" ht="11.25" customHeight="1">
      <c r="F4" s="9"/>
      <c r="G4" s="24"/>
      <c r="H4" s="31"/>
      <c r="I4" s="31"/>
      <c r="J4" s="40"/>
      <c r="K4" s="24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41"/>
      <c r="Y4" s="31"/>
      <c r="Z4" s="31"/>
    </row>
    <row r="5" spans="6:26" s="51" customFormat="1" ht="17.25" customHeight="1">
      <c r="F5" s="42"/>
      <c r="G5" s="43"/>
      <c r="H5" s="44"/>
      <c r="I5" s="44"/>
      <c r="J5" s="44" t="s">
        <v>107</v>
      </c>
      <c r="K5" s="43"/>
      <c r="L5" s="3"/>
      <c r="M5" s="10"/>
      <c r="N5" s="3"/>
      <c r="O5" s="10"/>
      <c r="P5" s="45">
        <f>SUBTOTAL(9,P6:P72)</f>
        <v>0</v>
      </c>
      <c r="Q5" s="46"/>
      <c r="R5" s="47"/>
      <c r="S5" s="10"/>
      <c r="T5" s="47">
        <f>SUBTOTAL(9,T6:T72)</f>
        <v>0</v>
      </c>
      <c r="U5" s="48" t="s">
        <v>1</v>
      </c>
      <c r="V5" s="45">
        <f>SUBTOTAL(9,V6:V72)</f>
        <v>0</v>
      </c>
      <c r="W5" s="45">
        <f>SUBTOTAL(9,W6:W72)</f>
        <v>0</v>
      </c>
      <c r="X5" s="49"/>
      <c r="Y5" s="50"/>
      <c r="Z5" s="50"/>
    </row>
    <row r="6" spans="6:26" s="32" customFormat="1" ht="16.5" customHeight="1" outlineLevel="1">
      <c r="F6" s="23"/>
      <c r="G6" s="24"/>
      <c r="H6" s="25"/>
      <c r="I6" s="25"/>
      <c r="J6" s="25" t="s">
        <v>57</v>
      </c>
      <c r="K6" s="24"/>
      <c r="L6" s="4"/>
      <c r="M6" s="11"/>
      <c r="N6" s="4"/>
      <c r="O6" s="11"/>
      <c r="P6" s="26">
        <f>SUBTOTAL(9,P9:P27)</f>
        <v>0</v>
      </c>
      <c r="Q6" s="27"/>
      <c r="R6" s="28"/>
      <c r="S6" s="11"/>
      <c r="T6" s="28">
        <f>SUBTOTAL(9,T9:T28)</f>
        <v>0</v>
      </c>
      <c r="U6" s="29" t="s">
        <v>1</v>
      </c>
      <c r="V6" s="26">
        <f>SUBTOTAL(9,V9:V28)</f>
        <v>0</v>
      </c>
      <c r="W6" s="26">
        <f>SUBTOTAL(9,W9:W28)</f>
        <v>0</v>
      </c>
      <c r="X6" s="30"/>
      <c r="Y6" s="31"/>
      <c r="Z6" s="31"/>
    </row>
    <row r="7" spans="6:26" s="22" customFormat="1" ht="12" outlineLevel="2">
      <c r="F7" s="17">
        <v>1</v>
      </c>
      <c r="G7" s="18" t="s">
        <v>0</v>
      </c>
      <c r="H7" s="19" t="s">
        <v>88</v>
      </c>
      <c r="I7" s="19"/>
      <c r="J7" s="20" t="s">
        <v>89</v>
      </c>
      <c r="K7" s="18" t="s">
        <v>90</v>
      </c>
      <c r="L7" s="5">
        <v>5</v>
      </c>
      <c r="M7" s="12">
        <v>0</v>
      </c>
      <c r="N7" s="5">
        <f aca="true" t="shared" si="0" ref="N7:N27">L7*(1+M7/100)</f>
        <v>5</v>
      </c>
      <c r="O7" s="12"/>
      <c r="P7" s="15">
        <f aca="true" t="shared" si="1" ref="P7:P27">N7*O7</f>
        <v>0</v>
      </c>
      <c r="Q7" s="21"/>
      <c r="R7" s="12"/>
      <c r="S7" s="21"/>
      <c r="T7" s="12"/>
      <c r="U7" s="15"/>
      <c r="V7" s="15"/>
      <c r="W7" s="15"/>
      <c r="X7" s="20"/>
      <c r="Y7" s="19"/>
      <c r="Z7" s="19"/>
    </row>
    <row r="8" spans="6:26" s="22" customFormat="1" ht="12" outlineLevel="2">
      <c r="F8" s="17">
        <v>2</v>
      </c>
      <c r="G8" s="18" t="s">
        <v>5</v>
      </c>
      <c r="H8" s="19" t="s">
        <v>91</v>
      </c>
      <c r="I8" s="19"/>
      <c r="J8" s="20" t="s">
        <v>105</v>
      </c>
      <c r="K8" s="18" t="s">
        <v>7</v>
      </c>
      <c r="L8" s="5">
        <f>1.5*0.3*94</f>
        <v>42.3</v>
      </c>
      <c r="M8" s="12">
        <v>0</v>
      </c>
      <c r="N8" s="5">
        <f t="shared" si="0"/>
        <v>42.3</v>
      </c>
      <c r="O8" s="12"/>
      <c r="P8" s="15">
        <f t="shared" si="1"/>
        <v>0</v>
      </c>
      <c r="Q8" s="21"/>
      <c r="R8" s="12"/>
      <c r="S8" s="21"/>
      <c r="T8" s="12"/>
      <c r="U8" s="15"/>
      <c r="V8" s="15"/>
      <c r="W8" s="15"/>
      <c r="X8" s="20"/>
      <c r="Y8" s="19"/>
      <c r="Z8" s="19"/>
    </row>
    <row r="9" spans="6:26" s="22" customFormat="1" ht="24" outlineLevel="2">
      <c r="F9" s="17">
        <v>3</v>
      </c>
      <c r="G9" s="18" t="s">
        <v>5</v>
      </c>
      <c r="H9" s="19" t="s">
        <v>30</v>
      </c>
      <c r="I9" s="19"/>
      <c r="J9" s="20" t="s">
        <v>87</v>
      </c>
      <c r="K9" s="18" t="s">
        <v>7</v>
      </c>
      <c r="L9" s="5">
        <f>7*(1*1*2)</f>
        <v>14</v>
      </c>
      <c r="M9" s="12">
        <v>0</v>
      </c>
      <c r="N9" s="5">
        <f t="shared" si="0"/>
        <v>14</v>
      </c>
      <c r="O9" s="13"/>
      <c r="P9" s="15">
        <f t="shared" si="1"/>
        <v>0</v>
      </c>
      <c r="Q9" s="21"/>
      <c r="R9" s="12"/>
      <c r="S9" s="21"/>
      <c r="T9" s="12">
        <f aca="true" t="shared" si="2" ref="T9:T27">N9*S9</f>
        <v>0</v>
      </c>
      <c r="U9" s="15">
        <v>21</v>
      </c>
      <c r="V9" s="15">
        <f aca="true" t="shared" si="3" ref="V9:V27">P9*(U9/100)</f>
        <v>0</v>
      </c>
      <c r="W9" s="15">
        <f aca="true" t="shared" si="4" ref="W9:W27">P9+V9</f>
        <v>0</v>
      </c>
      <c r="X9" s="20"/>
      <c r="Y9" s="19" t="s">
        <v>21</v>
      </c>
      <c r="Z9" s="19" t="s">
        <v>8</v>
      </c>
    </row>
    <row r="10" spans="6:26" s="22" customFormat="1" ht="12" outlineLevel="2">
      <c r="F10" s="17">
        <v>4</v>
      </c>
      <c r="G10" s="18" t="s">
        <v>5</v>
      </c>
      <c r="H10" s="19" t="s">
        <v>31</v>
      </c>
      <c r="I10" s="19"/>
      <c r="J10" s="20" t="s">
        <v>72</v>
      </c>
      <c r="K10" s="18" t="s">
        <v>7</v>
      </c>
      <c r="L10" s="52">
        <f>(5*(2*2*2))+(4*(1.3*2*2))+(2*(2.2*2*2))+(1*(2.6*2*2))+(2*(2*2*2.8))+(1*(2*2*0.7))</f>
        <v>114.00000000000001</v>
      </c>
      <c r="M10" s="12">
        <v>0</v>
      </c>
      <c r="N10" s="5">
        <f t="shared" si="0"/>
        <v>114.00000000000001</v>
      </c>
      <c r="O10" s="13"/>
      <c r="P10" s="15">
        <f t="shared" si="1"/>
        <v>0</v>
      </c>
      <c r="Q10" s="21"/>
      <c r="R10" s="12"/>
      <c r="S10" s="21"/>
      <c r="T10" s="12">
        <f t="shared" si="2"/>
        <v>0</v>
      </c>
      <c r="U10" s="15">
        <v>21</v>
      </c>
      <c r="V10" s="15">
        <f t="shared" si="3"/>
        <v>0</v>
      </c>
      <c r="W10" s="15">
        <f t="shared" si="4"/>
        <v>0</v>
      </c>
      <c r="X10" s="20"/>
      <c r="Y10" s="19" t="s">
        <v>21</v>
      </c>
      <c r="Z10" s="19" t="s">
        <v>8</v>
      </c>
    </row>
    <row r="11" spans="6:26" s="22" customFormat="1" ht="12" outlineLevel="2">
      <c r="F11" s="17">
        <v>5</v>
      </c>
      <c r="G11" s="18" t="s">
        <v>5</v>
      </c>
      <c r="H11" s="19" t="s">
        <v>32</v>
      </c>
      <c r="I11" s="19"/>
      <c r="J11" s="20" t="s">
        <v>78</v>
      </c>
      <c r="K11" s="18" t="s">
        <v>7</v>
      </c>
      <c r="L11" s="52">
        <f>0.3*L10</f>
        <v>34.2</v>
      </c>
      <c r="M11" s="12">
        <v>0</v>
      </c>
      <c r="N11" s="5">
        <f t="shared" si="0"/>
        <v>34.2</v>
      </c>
      <c r="O11" s="13"/>
      <c r="P11" s="15">
        <f t="shared" si="1"/>
        <v>0</v>
      </c>
      <c r="Q11" s="21"/>
      <c r="R11" s="12"/>
      <c r="S11" s="21"/>
      <c r="T11" s="12">
        <f t="shared" si="2"/>
        <v>0</v>
      </c>
      <c r="U11" s="15">
        <v>21</v>
      </c>
      <c r="V11" s="15">
        <f t="shared" si="3"/>
        <v>0</v>
      </c>
      <c r="W11" s="15">
        <f t="shared" si="4"/>
        <v>0</v>
      </c>
      <c r="X11" s="20"/>
      <c r="Y11" s="19" t="s">
        <v>21</v>
      </c>
      <c r="Z11" s="19" t="s">
        <v>8</v>
      </c>
    </row>
    <row r="12" spans="6:26" s="22" customFormat="1" ht="12" outlineLevel="2">
      <c r="F12" s="17">
        <v>6</v>
      </c>
      <c r="G12" s="18" t="s">
        <v>5</v>
      </c>
      <c r="H12" s="19" t="s">
        <v>33</v>
      </c>
      <c r="I12" s="19"/>
      <c r="J12" s="20" t="s">
        <v>73</v>
      </c>
      <c r="K12" s="18" t="s">
        <v>7</v>
      </c>
      <c r="L12" s="5">
        <f>(1*2.1*73)+(93*1*1.5)+(107*1*0.3)+(0.9*10*0.3)+(1*2.1*13)+(1*17*2.4)+(69*1*2.4)+(37*1*2.2)+(50*1*1.8)+(1*56*1.4)</f>
        <v>811.1</v>
      </c>
      <c r="M12" s="12">
        <v>0</v>
      </c>
      <c r="N12" s="5">
        <f t="shared" si="0"/>
        <v>811.1</v>
      </c>
      <c r="O12" s="13"/>
      <c r="P12" s="15">
        <f t="shared" si="1"/>
        <v>0</v>
      </c>
      <c r="Q12" s="21"/>
      <c r="R12" s="12"/>
      <c r="S12" s="21"/>
      <c r="T12" s="12">
        <f t="shared" si="2"/>
        <v>0</v>
      </c>
      <c r="U12" s="15">
        <v>21</v>
      </c>
      <c r="V12" s="15">
        <f t="shared" si="3"/>
        <v>0</v>
      </c>
      <c r="W12" s="15">
        <f t="shared" si="4"/>
        <v>0</v>
      </c>
      <c r="X12" s="20"/>
      <c r="Y12" s="19" t="s">
        <v>21</v>
      </c>
      <c r="Z12" s="19" t="s">
        <v>8</v>
      </c>
    </row>
    <row r="13" spans="6:26" s="22" customFormat="1" ht="12" outlineLevel="2">
      <c r="F13" s="17">
        <v>7</v>
      </c>
      <c r="G13" s="18" t="s">
        <v>5</v>
      </c>
      <c r="H13" s="19" t="s">
        <v>34</v>
      </c>
      <c r="I13" s="19"/>
      <c r="J13" s="20" t="s">
        <v>77</v>
      </c>
      <c r="K13" s="18" t="s">
        <v>7</v>
      </c>
      <c r="L13" s="5">
        <f>L12*0.5</f>
        <v>405.55</v>
      </c>
      <c r="M13" s="12">
        <v>0</v>
      </c>
      <c r="N13" s="5">
        <f t="shared" si="0"/>
        <v>405.55</v>
      </c>
      <c r="O13" s="13"/>
      <c r="P13" s="15">
        <f t="shared" si="1"/>
        <v>0</v>
      </c>
      <c r="Q13" s="21"/>
      <c r="R13" s="12"/>
      <c r="S13" s="21"/>
      <c r="T13" s="12">
        <f t="shared" si="2"/>
        <v>0</v>
      </c>
      <c r="U13" s="15">
        <v>21</v>
      </c>
      <c r="V13" s="15">
        <f t="shared" si="3"/>
        <v>0</v>
      </c>
      <c r="W13" s="15">
        <f t="shared" si="4"/>
        <v>0</v>
      </c>
      <c r="X13" s="20"/>
      <c r="Y13" s="19" t="s">
        <v>21</v>
      </c>
      <c r="Z13" s="19" t="s">
        <v>8</v>
      </c>
    </row>
    <row r="14" spans="6:26" s="22" customFormat="1" ht="12" outlineLevel="2">
      <c r="F14" s="17">
        <v>8</v>
      </c>
      <c r="G14" s="18" t="s">
        <v>5</v>
      </c>
      <c r="H14" s="19" t="s">
        <v>35</v>
      </c>
      <c r="I14" s="19"/>
      <c r="J14" s="20" t="s">
        <v>70</v>
      </c>
      <c r="K14" s="18" t="s">
        <v>6</v>
      </c>
      <c r="L14" s="5">
        <f>(2*2.1*73)+(93*2*1.5)+(107*2*0.3)+(2*10*0.3)+(2*2.1*13)+(2*17*2.4)+(69*2*2.4)+(37*2*2.2)+(50*2*1.8)+(2*56*1.4)</f>
        <v>1622.8</v>
      </c>
      <c r="M14" s="12">
        <v>0</v>
      </c>
      <c r="N14" s="5">
        <f t="shared" si="0"/>
        <v>1622.8</v>
      </c>
      <c r="O14" s="13"/>
      <c r="P14" s="15">
        <f t="shared" si="1"/>
        <v>0</v>
      </c>
      <c r="Q14" s="21">
        <v>0.00085</v>
      </c>
      <c r="R14" s="12"/>
      <c r="S14" s="21"/>
      <c r="T14" s="12">
        <f t="shared" si="2"/>
        <v>0</v>
      </c>
      <c r="U14" s="15">
        <v>21</v>
      </c>
      <c r="V14" s="15">
        <f t="shared" si="3"/>
        <v>0</v>
      </c>
      <c r="W14" s="15">
        <f t="shared" si="4"/>
        <v>0</v>
      </c>
      <c r="X14" s="20"/>
      <c r="Y14" s="19" t="s">
        <v>21</v>
      </c>
      <c r="Z14" s="19" t="s">
        <v>8</v>
      </c>
    </row>
    <row r="15" spans="6:26" s="22" customFormat="1" ht="12" outlineLevel="2">
      <c r="F15" s="17">
        <v>9</v>
      </c>
      <c r="G15" s="18" t="s">
        <v>5</v>
      </c>
      <c r="H15" s="19" t="s">
        <v>36</v>
      </c>
      <c r="I15" s="19"/>
      <c r="J15" s="20" t="s">
        <v>74</v>
      </c>
      <c r="K15" s="18" t="s">
        <v>6</v>
      </c>
      <c r="L15" s="5">
        <f>L14</f>
        <v>1622.8</v>
      </c>
      <c r="M15" s="12">
        <v>0</v>
      </c>
      <c r="N15" s="5">
        <f t="shared" si="0"/>
        <v>1622.8</v>
      </c>
      <c r="O15" s="13"/>
      <c r="P15" s="15">
        <f t="shared" si="1"/>
        <v>0</v>
      </c>
      <c r="Q15" s="21"/>
      <c r="R15" s="12"/>
      <c r="S15" s="21"/>
      <c r="T15" s="12">
        <f t="shared" si="2"/>
        <v>0</v>
      </c>
      <c r="U15" s="15">
        <v>21</v>
      </c>
      <c r="V15" s="15">
        <f t="shared" si="3"/>
        <v>0</v>
      </c>
      <c r="W15" s="15">
        <f t="shared" si="4"/>
        <v>0</v>
      </c>
      <c r="X15" s="20"/>
      <c r="Y15" s="19" t="s">
        <v>21</v>
      </c>
      <c r="Z15" s="19" t="s">
        <v>8</v>
      </c>
    </row>
    <row r="16" spans="6:26" s="22" customFormat="1" ht="12" outlineLevel="2">
      <c r="F16" s="17">
        <v>10</v>
      </c>
      <c r="G16" s="18" t="s">
        <v>5</v>
      </c>
      <c r="H16" s="19" t="s">
        <v>37</v>
      </c>
      <c r="I16" s="19"/>
      <c r="J16" s="20" t="s">
        <v>75</v>
      </c>
      <c r="K16" s="18" t="s">
        <v>7</v>
      </c>
      <c r="L16" s="5">
        <f>L12+L10</f>
        <v>925.1</v>
      </c>
      <c r="M16" s="12">
        <v>0</v>
      </c>
      <c r="N16" s="5">
        <f t="shared" si="0"/>
        <v>925.1</v>
      </c>
      <c r="O16" s="13"/>
      <c r="P16" s="15">
        <f t="shared" si="1"/>
        <v>0</v>
      </c>
      <c r="Q16" s="21"/>
      <c r="R16" s="12"/>
      <c r="S16" s="21"/>
      <c r="T16" s="12">
        <f t="shared" si="2"/>
        <v>0</v>
      </c>
      <c r="U16" s="15">
        <v>21</v>
      </c>
      <c r="V16" s="15">
        <f t="shared" si="3"/>
        <v>0</v>
      </c>
      <c r="W16" s="15">
        <f t="shared" si="4"/>
        <v>0</v>
      </c>
      <c r="X16" s="20"/>
      <c r="Y16" s="19" t="s">
        <v>21</v>
      </c>
      <c r="Z16" s="19" t="s">
        <v>8</v>
      </c>
    </row>
    <row r="17" spans="6:26" s="22" customFormat="1" ht="12" outlineLevel="2">
      <c r="F17" s="17">
        <v>11</v>
      </c>
      <c r="G17" s="18" t="s">
        <v>5</v>
      </c>
      <c r="H17" s="19" t="s">
        <v>38</v>
      </c>
      <c r="I17" s="19"/>
      <c r="J17" s="20" t="s">
        <v>79</v>
      </c>
      <c r="K17" s="18" t="s">
        <v>7</v>
      </c>
      <c r="L17" s="5">
        <f>L22</f>
        <v>722.27</v>
      </c>
      <c r="M17" s="12">
        <v>0</v>
      </c>
      <c r="N17" s="5">
        <f t="shared" si="0"/>
        <v>722.27</v>
      </c>
      <c r="O17" s="13"/>
      <c r="P17" s="15">
        <f t="shared" si="1"/>
        <v>0</v>
      </c>
      <c r="Q17" s="21"/>
      <c r="R17" s="12"/>
      <c r="S17" s="21"/>
      <c r="T17" s="12">
        <f t="shared" si="2"/>
        <v>0</v>
      </c>
      <c r="U17" s="15">
        <v>21</v>
      </c>
      <c r="V17" s="15">
        <f t="shared" si="3"/>
        <v>0</v>
      </c>
      <c r="W17" s="15">
        <f t="shared" si="4"/>
        <v>0</v>
      </c>
      <c r="X17" s="20"/>
      <c r="Y17" s="19" t="s">
        <v>21</v>
      </c>
      <c r="Z17" s="19" t="s">
        <v>8</v>
      </c>
    </row>
    <row r="18" spans="6:26" s="22" customFormat="1" ht="12" outlineLevel="2">
      <c r="F18" s="17">
        <v>12</v>
      </c>
      <c r="G18" s="18" t="s">
        <v>5</v>
      </c>
      <c r="H18" s="19" t="s">
        <v>39</v>
      </c>
      <c r="I18" s="19"/>
      <c r="J18" s="20" t="s">
        <v>81</v>
      </c>
      <c r="K18" s="18" t="s">
        <v>7</v>
      </c>
      <c r="L18" s="5">
        <f>(L10+L12)-L22</f>
        <v>202.83000000000004</v>
      </c>
      <c r="M18" s="12">
        <v>0</v>
      </c>
      <c r="N18" s="5">
        <f t="shared" si="0"/>
        <v>202.83000000000004</v>
      </c>
      <c r="O18" s="13"/>
      <c r="P18" s="15">
        <f t="shared" si="1"/>
        <v>0</v>
      </c>
      <c r="Q18" s="21"/>
      <c r="R18" s="12"/>
      <c r="S18" s="21"/>
      <c r="T18" s="12">
        <f t="shared" si="2"/>
        <v>0</v>
      </c>
      <c r="U18" s="15">
        <v>21</v>
      </c>
      <c r="V18" s="15">
        <f t="shared" si="3"/>
        <v>0</v>
      </c>
      <c r="W18" s="15">
        <f t="shared" si="4"/>
        <v>0</v>
      </c>
      <c r="X18" s="20"/>
      <c r="Y18" s="19" t="s">
        <v>21</v>
      </c>
      <c r="Z18" s="19" t="s">
        <v>8</v>
      </c>
    </row>
    <row r="19" spans="6:26" s="22" customFormat="1" ht="12" outlineLevel="2">
      <c r="F19" s="17">
        <v>13</v>
      </c>
      <c r="G19" s="18" t="s">
        <v>5</v>
      </c>
      <c r="H19" s="19" t="s">
        <v>40</v>
      </c>
      <c r="I19" s="19"/>
      <c r="J19" s="20" t="s">
        <v>69</v>
      </c>
      <c r="K19" s="18" t="s">
        <v>7</v>
      </c>
      <c r="L19" s="5">
        <f>L18</f>
        <v>202.83000000000004</v>
      </c>
      <c r="M19" s="12">
        <v>0</v>
      </c>
      <c r="N19" s="5">
        <f t="shared" si="0"/>
        <v>202.83000000000004</v>
      </c>
      <c r="O19" s="13"/>
      <c r="P19" s="15">
        <f t="shared" si="1"/>
        <v>0</v>
      </c>
      <c r="Q19" s="21"/>
      <c r="R19" s="12"/>
      <c r="S19" s="21"/>
      <c r="T19" s="12">
        <f t="shared" si="2"/>
        <v>0</v>
      </c>
      <c r="U19" s="15">
        <v>21</v>
      </c>
      <c r="V19" s="15">
        <f t="shared" si="3"/>
        <v>0</v>
      </c>
      <c r="W19" s="15">
        <f t="shared" si="4"/>
        <v>0</v>
      </c>
      <c r="X19" s="20"/>
      <c r="Y19" s="19" t="s">
        <v>21</v>
      </c>
      <c r="Z19" s="19" t="s">
        <v>8</v>
      </c>
    </row>
    <row r="20" spans="6:26" s="22" customFormat="1" ht="12" outlineLevel="2">
      <c r="F20" s="17">
        <v>14</v>
      </c>
      <c r="G20" s="18" t="s">
        <v>5</v>
      </c>
      <c r="H20" s="19" t="s">
        <v>41</v>
      </c>
      <c r="I20" s="19"/>
      <c r="J20" s="20" t="s">
        <v>64</v>
      </c>
      <c r="K20" s="18" t="s">
        <v>7</v>
      </c>
      <c r="L20" s="5">
        <f>L18</f>
        <v>202.83000000000004</v>
      </c>
      <c r="M20" s="12">
        <v>0</v>
      </c>
      <c r="N20" s="5">
        <f t="shared" si="0"/>
        <v>202.83000000000004</v>
      </c>
      <c r="O20" s="13"/>
      <c r="P20" s="15">
        <f t="shared" si="1"/>
        <v>0</v>
      </c>
      <c r="Q20" s="21"/>
      <c r="R20" s="12"/>
      <c r="S20" s="21"/>
      <c r="T20" s="12">
        <f t="shared" si="2"/>
        <v>0</v>
      </c>
      <c r="U20" s="15">
        <v>21</v>
      </c>
      <c r="V20" s="15">
        <f t="shared" si="3"/>
        <v>0</v>
      </c>
      <c r="W20" s="15">
        <f t="shared" si="4"/>
        <v>0</v>
      </c>
      <c r="X20" s="20"/>
      <c r="Y20" s="19" t="s">
        <v>21</v>
      </c>
      <c r="Z20" s="19" t="s">
        <v>8</v>
      </c>
    </row>
    <row r="21" spans="6:26" s="22" customFormat="1" ht="23.25" customHeight="1" outlineLevel="2">
      <c r="F21" s="17">
        <v>15</v>
      </c>
      <c r="G21" s="18" t="s">
        <v>5</v>
      </c>
      <c r="H21" s="19" t="s">
        <v>42</v>
      </c>
      <c r="I21" s="19"/>
      <c r="J21" s="20" t="s">
        <v>80</v>
      </c>
      <c r="K21" s="18" t="s">
        <v>3</v>
      </c>
      <c r="L21" s="5">
        <f>1.8*L20</f>
        <v>365.0940000000001</v>
      </c>
      <c r="M21" s="12">
        <v>0</v>
      </c>
      <c r="N21" s="5">
        <f t="shared" si="0"/>
        <v>365.0940000000001</v>
      </c>
      <c r="O21" s="13"/>
      <c r="P21" s="15">
        <f t="shared" si="1"/>
        <v>0</v>
      </c>
      <c r="Q21" s="21"/>
      <c r="R21" s="12"/>
      <c r="S21" s="21"/>
      <c r="T21" s="12">
        <f t="shared" si="2"/>
        <v>0</v>
      </c>
      <c r="U21" s="15">
        <v>21</v>
      </c>
      <c r="V21" s="15">
        <f t="shared" si="3"/>
        <v>0</v>
      </c>
      <c r="W21" s="15">
        <f t="shared" si="4"/>
        <v>0</v>
      </c>
      <c r="X21" s="20"/>
      <c r="Y21" s="19" t="s">
        <v>21</v>
      </c>
      <c r="Z21" s="19" t="s">
        <v>8</v>
      </c>
    </row>
    <row r="22" spans="6:26" s="22" customFormat="1" ht="12" outlineLevel="2">
      <c r="F22" s="17">
        <v>16</v>
      </c>
      <c r="G22" s="18" t="s">
        <v>5</v>
      </c>
      <c r="H22" s="19" t="s">
        <v>43</v>
      </c>
      <c r="I22" s="19"/>
      <c r="J22" s="20" t="s">
        <v>76</v>
      </c>
      <c r="K22" s="18" t="s">
        <v>7</v>
      </c>
      <c r="L22" s="52">
        <f>(5*(2*(2*2-0.78))+(4*(1.3*(2*2-0.78)))+(2*(2.2*(2*2-0.78)))+(1*(2.6*(2*2-0.78)))+(2*((2*2-0.78)*2.8))+(1*((2*2-0.78)*0.7)))+((1*1.5*73)+(93*1*0.9)+(107*1*0.9)+(0.9*10*0.3)+(1*1.5*13)+(1*17*1.8)+(69*1*1.8)+(37*1*1.6)+(50*1*1.2)+(1*56*0.8))</f>
        <v>722.27</v>
      </c>
      <c r="M22" s="12">
        <v>0</v>
      </c>
      <c r="N22" s="5">
        <f t="shared" si="0"/>
        <v>722.27</v>
      </c>
      <c r="O22" s="13"/>
      <c r="P22" s="15">
        <f t="shared" si="1"/>
        <v>0</v>
      </c>
      <c r="Q22" s="21"/>
      <c r="R22" s="12"/>
      <c r="S22" s="21"/>
      <c r="T22" s="12">
        <f t="shared" si="2"/>
        <v>0</v>
      </c>
      <c r="U22" s="15">
        <v>21</v>
      </c>
      <c r="V22" s="15">
        <f t="shared" si="3"/>
        <v>0</v>
      </c>
      <c r="W22" s="15">
        <f t="shared" si="4"/>
        <v>0</v>
      </c>
      <c r="X22" s="20"/>
      <c r="Y22" s="19" t="s">
        <v>21</v>
      </c>
      <c r="Z22" s="19" t="s">
        <v>8</v>
      </c>
    </row>
    <row r="23" spans="6:26" s="22" customFormat="1" ht="24" outlineLevel="2">
      <c r="F23" s="17">
        <v>17</v>
      </c>
      <c r="G23" s="18" t="s">
        <v>5</v>
      </c>
      <c r="H23" s="19" t="s">
        <v>44</v>
      </c>
      <c r="I23" s="19"/>
      <c r="J23" s="20" t="s">
        <v>83</v>
      </c>
      <c r="K23" s="18" t="s">
        <v>7</v>
      </c>
      <c r="L23" s="5">
        <f>(1*0.55*73)+(93*1*0.55)+(107*1*0.55)+(0.9*10*0.55)+(1*0.55*13)+(1*17*0.55)+(69*1*0.55)+(37*1*0.55)+(50*1*0.55)+(1*56*0.55)</f>
        <v>288.20000000000005</v>
      </c>
      <c r="M23" s="12">
        <v>0</v>
      </c>
      <c r="N23" s="5">
        <f t="shared" si="0"/>
        <v>288.20000000000005</v>
      </c>
      <c r="O23" s="13"/>
      <c r="P23" s="15">
        <f t="shared" si="1"/>
        <v>0</v>
      </c>
      <c r="Q23" s="21"/>
      <c r="R23" s="12"/>
      <c r="S23" s="21"/>
      <c r="T23" s="12">
        <f t="shared" si="2"/>
        <v>0</v>
      </c>
      <c r="U23" s="15">
        <v>21</v>
      </c>
      <c r="V23" s="15">
        <f t="shared" si="3"/>
        <v>0</v>
      </c>
      <c r="W23" s="15">
        <f t="shared" si="4"/>
        <v>0</v>
      </c>
      <c r="X23" s="20"/>
      <c r="Y23" s="19" t="s">
        <v>21</v>
      </c>
      <c r="Z23" s="19" t="s">
        <v>8</v>
      </c>
    </row>
    <row r="24" spans="6:26" s="22" customFormat="1" ht="12" outlineLevel="2">
      <c r="F24" s="17">
        <v>18</v>
      </c>
      <c r="G24" s="18" t="s">
        <v>5</v>
      </c>
      <c r="H24" s="19" t="s">
        <v>45</v>
      </c>
      <c r="I24" s="19"/>
      <c r="J24" s="20" t="s">
        <v>71</v>
      </c>
      <c r="K24" s="18" t="s">
        <v>6</v>
      </c>
      <c r="L24" s="5">
        <f>(1*73)+(93*1)+(107*1)+(0.9*10)+(1*13)+(1*17)+(69*1)+(37*1)+(50*1)+(1*56)</f>
        <v>524</v>
      </c>
      <c r="M24" s="12">
        <v>0</v>
      </c>
      <c r="N24" s="5">
        <f t="shared" si="0"/>
        <v>524</v>
      </c>
      <c r="O24" s="13"/>
      <c r="P24" s="15">
        <f t="shared" si="1"/>
        <v>0</v>
      </c>
      <c r="Q24" s="21"/>
      <c r="R24" s="12"/>
      <c r="S24" s="21"/>
      <c r="T24" s="12">
        <f t="shared" si="2"/>
        <v>0</v>
      </c>
      <c r="U24" s="15">
        <v>21</v>
      </c>
      <c r="V24" s="15">
        <f t="shared" si="3"/>
        <v>0</v>
      </c>
      <c r="W24" s="15">
        <f t="shared" si="4"/>
        <v>0</v>
      </c>
      <c r="X24" s="20"/>
      <c r="Y24" s="19" t="s">
        <v>21</v>
      </c>
      <c r="Z24" s="19" t="s">
        <v>8</v>
      </c>
    </row>
    <row r="25" spans="6:26" s="22" customFormat="1" ht="24" outlineLevel="2">
      <c r="F25" s="17">
        <v>19</v>
      </c>
      <c r="G25" s="18" t="s">
        <v>5</v>
      </c>
      <c r="H25" s="19" t="s">
        <v>92</v>
      </c>
      <c r="I25" s="19"/>
      <c r="J25" s="20" t="s">
        <v>93</v>
      </c>
      <c r="K25" s="18" t="s">
        <v>6</v>
      </c>
      <c r="L25" s="5">
        <f>1.5*94</f>
        <v>141</v>
      </c>
      <c r="M25" s="12">
        <v>0</v>
      </c>
      <c r="N25" s="5">
        <f t="shared" si="0"/>
        <v>141</v>
      </c>
      <c r="O25" s="13"/>
      <c r="P25" s="15">
        <f>N25*O25</f>
        <v>0</v>
      </c>
      <c r="Q25" s="21"/>
      <c r="R25" s="12"/>
      <c r="S25" s="21"/>
      <c r="T25" s="12"/>
      <c r="U25" s="15"/>
      <c r="V25" s="15"/>
      <c r="W25" s="15"/>
      <c r="X25" s="20"/>
      <c r="Y25" s="19"/>
      <c r="Z25" s="19"/>
    </row>
    <row r="26" spans="6:26" s="22" customFormat="1" ht="24" outlineLevel="2">
      <c r="F26" s="17">
        <v>20</v>
      </c>
      <c r="G26" s="18" t="s">
        <v>5</v>
      </c>
      <c r="H26" s="19" t="s">
        <v>95</v>
      </c>
      <c r="I26" s="19"/>
      <c r="J26" s="20" t="s">
        <v>94</v>
      </c>
      <c r="K26" s="18" t="s">
        <v>6</v>
      </c>
      <c r="L26" s="5">
        <f>L25</f>
        <v>141</v>
      </c>
      <c r="M26" s="12">
        <v>0</v>
      </c>
      <c r="N26" s="5">
        <f t="shared" si="0"/>
        <v>141</v>
      </c>
      <c r="O26" s="13"/>
      <c r="P26" s="15">
        <f>N26*O26</f>
        <v>0</v>
      </c>
      <c r="Q26" s="21"/>
      <c r="R26" s="12"/>
      <c r="S26" s="21"/>
      <c r="T26" s="12"/>
      <c r="U26" s="15"/>
      <c r="V26" s="15"/>
      <c r="W26" s="15"/>
      <c r="X26" s="20"/>
      <c r="Y26" s="19"/>
      <c r="Z26" s="19"/>
    </row>
    <row r="27" spans="6:26" s="22" customFormat="1" ht="12" outlineLevel="2">
      <c r="F27" s="17">
        <v>21</v>
      </c>
      <c r="G27" s="18" t="s">
        <v>0</v>
      </c>
      <c r="H27" s="19" t="s">
        <v>28</v>
      </c>
      <c r="I27" s="19"/>
      <c r="J27" s="20" t="s">
        <v>65</v>
      </c>
      <c r="K27" s="18" t="s">
        <v>3</v>
      </c>
      <c r="L27" s="5">
        <f>L23*1.9</f>
        <v>547.58</v>
      </c>
      <c r="M27" s="12">
        <v>0</v>
      </c>
      <c r="N27" s="5">
        <f t="shared" si="0"/>
        <v>547.58</v>
      </c>
      <c r="O27" s="13"/>
      <c r="P27" s="15">
        <f t="shared" si="1"/>
        <v>0</v>
      </c>
      <c r="Q27" s="21">
        <v>1</v>
      </c>
      <c r="R27" s="12"/>
      <c r="S27" s="21"/>
      <c r="T27" s="12">
        <f t="shared" si="2"/>
        <v>0</v>
      </c>
      <c r="U27" s="15">
        <v>21</v>
      </c>
      <c r="V27" s="15">
        <f t="shared" si="3"/>
        <v>0</v>
      </c>
      <c r="W27" s="15">
        <f t="shared" si="4"/>
        <v>0</v>
      </c>
      <c r="X27" s="20"/>
      <c r="Y27" s="19" t="s">
        <v>21</v>
      </c>
      <c r="Z27" s="19" t="s">
        <v>8</v>
      </c>
    </row>
    <row r="28" spans="6:26" s="59" customFormat="1" ht="12.75" customHeight="1" outlineLevel="2">
      <c r="F28" s="53"/>
      <c r="G28" s="54"/>
      <c r="H28" s="54"/>
      <c r="I28" s="54"/>
      <c r="J28" s="55"/>
      <c r="K28" s="54"/>
      <c r="L28" s="6"/>
      <c r="M28" s="14"/>
      <c r="N28" s="6"/>
      <c r="O28" s="14"/>
      <c r="P28" s="56"/>
      <c r="Q28" s="57"/>
      <c r="R28" s="14"/>
      <c r="S28" s="14"/>
      <c r="T28" s="14"/>
      <c r="U28" s="58" t="s">
        <v>1</v>
      </c>
      <c r="V28" s="14"/>
      <c r="W28" s="14"/>
      <c r="X28" s="14"/>
      <c r="Y28" s="54"/>
      <c r="Z28" s="54"/>
    </row>
    <row r="29" spans="6:26" s="32" customFormat="1" ht="16.5" customHeight="1" outlineLevel="1">
      <c r="F29" s="23"/>
      <c r="G29" s="24"/>
      <c r="H29" s="25"/>
      <c r="I29" s="25"/>
      <c r="J29" s="25" t="s">
        <v>67</v>
      </c>
      <c r="K29" s="24"/>
      <c r="L29" s="4"/>
      <c r="M29" s="11"/>
      <c r="N29" s="4"/>
      <c r="O29" s="11"/>
      <c r="P29" s="26">
        <f>SUBTOTAL(9,P30:P34)</f>
        <v>0</v>
      </c>
      <c r="Q29" s="27"/>
      <c r="R29" s="28"/>
      <c r="S29" s="11"/>
      <c r="T29" s="28">
        <f>SUBTOTAL(9,T30:T35)</f>
        <v>0</v>
      </c>
      <c r="U29" s="29" t="s">
        <v>1</v>
      </c>
      <c r="V29" s="26">
        <f>SUBTOTAL(9,V30:V35)</f>
        <v>0</v>
      </c>
      <c r="W29" s="26">
        <f>SUBTOTAL(9,W30:W35)</f>
        <v>0</v>
      </c>
      <c r="X29" s="30"/>
      <c r="Y29" s="31"/>
      <c r="Z29" s="31"/>
    </row>
    <row r="30" spans="6:26" s="22" customFormat="1" ht="12" outlineLevel="2">
      <c r="F30" s="17">
        <v>22</v>
      </c>
      <c r="G30" s="18" t="s">
        <v>5</v>
      </c>
      <c r="H30" s="19" t="s">
        <v>39</v>
      </c>
      <c r="I30" s="19"/>
      <c r="J30" s="20" t="s">
        <v>81</v>
      </c>
      <c r="K30" s="18" t="s">
        <v>7</v>
      </c>
      <c r="L30" s="5">
        <f>0.5*(L10+L12)</f>
        <v>462.55</v>
      </c>
      <c r="M30" s="12">
        <v>0</v>
      </c>
      <c r="N30" s="5">
        <f>L30*(1+M30/100)</f>
        <v>462.55</v>
      </c>
      <c r="O30" s="13"/>
      <c r="P30" s="15">
        <f>N30*O30</f>
        <v>0</v>
      </c>
      <c r="Q30" s="21"/>
      <c r="R30" s="12"/>
      <c r="S30" s="21"/>
      <c r="T30" s="12">
        <f>N30*S30</f>
        <v>0</v>
      </c>
      <c r="U30" s="15"/>
      <c r="V30" s="15">
        <f>P30*(U30/100)</f>
        <v>0</v>
      </c>
      <c r="W30" s="15">
        <f>P30+V30</f>
        <v>0</v>
      </c>
      <c r="X30" s="20"/>
      <c r="Y30" s="19" t="s">
        <v>21</v>
      </c>
      <c r="Z30" s="19" t="s">
        <v>17</v>
      </c>
    </row>
    <row r="31" spans="6:26" s="22" customFormat="1" ht="12" outlineLevel="2">
      <c r="F31" s="17">
        <v>23</v>
      </c>
      <c r="G31" s="18" t="s">
        <v>5</v>
      </c>
      <c r="H31" s="19" t="s">
        <v>40</v>
      </c>
      <c r="I31" s="19"/>
      <c r="J31" s="20" t="s">
        <v>69</v>
      </c>
      <c r="K31" s="18" t="s">
        <v>7</v>
      </c>
      <c r="L31" s="5">
        <f>L30</f>
        <v>462.55</v>
      </c>
      <c r="M31" s="12">
        <v>0</v>
      </c>
      <c r="N31" s="5">
        <f>L31*(1+M31/100)</f>
        <v>462.55</v>
      </c>
      <c r="O31" s="13"/>
      <c r="P31" s="15">
        <f>N31*O31</f>
        <v>0</v>
      </c>
      <c r="Q31" s="21"/>
      <c r="R31" s="12"/>
      <c r="S31" s="21"/>
      <c r="T31" s="12">
        <f>N31*S31</f>
        <v>0</v>
      </c>
      <c r="U31" s="15">
        <v>21</v>
      </c>
      <c r="V31" s="15">
        <f>P31*(U31/100)</f>
        <v>0</v>
      </c>
      <c r="W31" s="15">
        <f>P31+V31</f>
        <v>0</v>
      </c>
      <c r="X31" s="20"/>
      <c r="Y31" s="19" t="s">
        <v>21</v>
      </c>
      <c r="Z31" s="19" t="s">
        <v>17</v>
      </c>
    </row>
    <row r="32" spans="6:26" s="22" customFormat="1" ht="12" outlineLevel="2">
      <c r="F32" s="17">
        <v>24</v>
      </c>
      <c r="G32" s="18" t="s">
        <v>5</v>
      </c>
      <c r="H32" s="19" t="s">
        <v>41</v>
      </c>
      <c r="I32" s="19"/>
      <c r="J32" s="20" t="s">
        <v>64</v>
      </c>
      <c r="K32" s="18" t="s">
        <v>7</v>
      </c>
      <c r="L32" s="5">
        <f>L30</f>
        <v>462.55</v>
      </c>
      <c r="M32" s="12">
        <v>0</v>
      </c>
      <c r="N32" s="5">
        <f>L32*(1+M32/100)</f>
        <v>462.55</v>
      </c>
      <c r="O32" s="13"/>
      <c r="P32" s="15">
        <f>N32*O32</f>
        <v>0</v>
      </c>
      <c r="Q32" s="21"/>
      <c r="R32" s="12"/>
      <c r="S32" s="21"/>
      <c r="T32" s="12">
        <f>N32*S32</f>
        <v>0</v>
      </c>
      <c r="U32" s="15">
        <v>21</v>
      </c>
      <c r="V32" s="15">
        <f>P32*(U32/100)</f>
        <v>0</v>
      </c>
      <c r="W32" s="15">
        <f>P32+V32</f>
        <v>0</v>
      </c>
      <c r="X32" s="20"/>
      <c r="Y32" s="19" t="s">
        <v>21</v>
      </c>
      <c r="Z32" s="19" t="s">
        <v>17</v>
      </c>
    </row>
    <row r="33" spans="6:26" s="22" customFormat="1" ht="24" outlineLevel="2">
      <c r="F33" s="17">
        <v>25</v>
      </c>
      <c r="G33" s="18" t="s">
        <v>5</v>
      </c>
      <c r="H33" s="19" t="s">
        <v>42</v>
      </c>
      <c r="I33" s="19"/>
      <c r="J33" s="20" t="s">
        <v>80</v>
      </c>
      <c r="K33" s="18" t="s">
        <v>3</v>
      </c>
      <c r="L33" s="5">
        <f>1.8*L30</f>
        <v>832.59</v>
      </c>
      <c r="M33" s="12">
        <v>0</v>
      </c>
      <c r="N33" s="5">
        <f>L33*(1+M33/100)</f>
        <v>832.59</v>
      </c>
      <c r="O33" s="13"/>
      <c r="P33" s="15">
        <f>N33*O33</f>
        <v>0</v>
      </c>
      <c r="Q33" s="21"/>
      <c r="R33" s="12"/>
      <c r="S33" s="21"/>
      <c r="T33" s="12">
        <f>N33*S33</f>
        <v>0</v>
      </c>
      <c r="U33" s="15">
        <v>21</v>
      </c>
      <c r="V33" s="15">
        <f>P33*(U33/100)</f>
        <v>0</v>
      </c>
      <c r="W33" s="15">
        <f>P33+V33</f>
        <v>0</v>
      </c>
      <c r="X33" s="20"/>
      <c r="Y33" s="19" t="s">
        <v>21</v>
      </c>
      <c r="Z33" s="19" t="s">
        <v>17</v>
      </c>
    </row>
    <row r="34" spans="6:26" s="22" customFormat="1" ht="12" outlineLevel="2">
      <c r="F34" s="17">
        <v>26</v>
      </c>
      <c r="G34" s="18" t="s">
        <v>0</v>
      </c>
      <c r="H34" s="19" t="s">
        <v>27</v>
      </c>
      <c r="I34" s="19"/>
      <c r="J34" s="20" t="s">
        <v>66</v>
      </c>
      <c r="K34" s="18" t="s">
        <v>3</v>
      </c>
      <c r="L34" s="5">
        <f>L30*1.8</f>
        <v>832.59</v>
      </c>
      <c r="M34" s="12">
        <v>0</v>
      </c>
      <c r="N34" s="5">
        <f>L34*(1+M34/100)</f>
        <v>832.59</v>
      </c>
      <c r="O34" s="13"/>
      <c r="P34" s="15">
        <f>N34*O34</f>
        <v>0</v>
      </c>
      <c r="Q34" s="21">
        <v>1</v>
      </c>
      <c r="R34" s="12"/>
      <c r="S34" s="21"/>
      <c r="T34" s="12">
        <f>N34*S34</f>
        <v>0</v>
      </c>
      <c r="U34" s="15"/>
      <c r="V34" s="15">
        <f>P34*(U34/100)</f>
        <v>0</v>
      </c>
      <c r="W34" s="15">
        <f>P34+V34</f>
        <v>0</v>
      </c>
      <c r="X34" s="20"/>
      <c r="Y34" s="19" t="s">
        <v>21</v>
      </c>
      <c r="Z34" s="19" t="s">
        <v>17</v>
      </c>
    </row>
    <row r="35" spans="6:26" s="59" customFormat="1" ht="12.75" customHeight="1" outlineLevel="2">
      <c r="F35" s="53"/>
      <c r="G35" s="54"/>
      <c r="H35" s="54"/>
      <c r="I35" s="54"/>
      <c r="J35" s="55"/>
      <c r="K35" s="54"/>
      <c r="L35" s="6"/>
      <c r="M35" s="14"/>
      <c r="N35" s="6"/>
      <c r="O35" s="14"/>
      <c r="P35" s="56"/>
      <c r="Q35" s="57"/>
      <c r="R35" s="14"/>
      <c r="S35" s="14"/>
      <c r="T35" s="14"/>
      <c r="U35" s="58" t="s">
        <v>1</v>
      </c>
      <c r="V35" s="14"/>
      <c r="W35" s="14"/>
      <c r="X35" s="14"/>
      <c r="Y35" s="54"/>
      <c r="Z35" s="54"/>
    </row>
    <row r="36" spans="6:26" s="32" customFormat="1" ht="16.5" customHeight="1" outlineLevel="1">
      <c r="F36" s="23"/>
      <c r="G36" s="24"/>
      <c r="H36" s="25"/>
      <c r="I36" s="25"/>
      <c r="J36" s="25" t="s">
        <v>54</v>
      </c>
      <c r="K36" s="24"/>
      <c r="L36" s="4"/>
      <c r="M36" s="11"/>
      <c r="N36" s="4"/>
      <c r="O36" s="11"/>
      <c r="P36" s="26">
        <f>SUBTOTAL(9,P37:P38)</f>
        <v>0</v>
      </c>
      <c r="Q36" s="27"/>
      <c r="R36" s="28"/>
      <c r="S36" s="11"/>
      <c r="T36" s="28">
        <f>SUBTOTAL(9,T37:T38)</f>
        <v>0</v>
      </c>
      <c r="U36" s="29" t="s">
        <v>1</v>
      </c>
      <c r="V36" s="26">
        <f>SUBTOTAL(9,V37:V38)</f>
        <v>0</v>
      </c>
      <c r="W36" s="26">
        <f>SUBTOTAL(9,W37:W38)</f>
        <v>0</v>
      </c>
      <c r="X36" s="30"/>
      <c r="Y36" s="31"/>
      <c r="Z36" s="31"/>
    </row>
    <row r="37" spans="6:26" s="22" customFormat="1" ht="24" outlineLevel="2">
      <c r="F37" s="17">
        <v>27</v>
      </c>
      <c r="G37" s="18" t="s">
        <v>5</v>
      </c>
      <c r="H37" s="19" t="s">
        <v>46</v>
      </c>
      <c r="I37" s="19"/>
      <c r="J37" s="20" t="s">
        <v>84</v>
      </c>
      <c r="K37" s="18" t="s">
        <v>2</v>
      </c>
      <c r="L37" s="5">
        <f>223+33+173+56</f>
        <v>485</v>
      </c>
      <c r="M37" s="12">
        <v>0</v>
      </c>
      <c r="N37" s="5">
        <f>L37*(1+M37/100)</f>
        <v>485</v>
      </c>
      <c r="O37" s="13"/>
      <c r="P37" s="15">
        <f>N37*O37</f>
        <v>0</v>
      </c>
      <c r="Q37" s="21">
        <v>0.22657</v>
      </c>
      <c r="R37" s="12"/>
      <c r="S37" s="21"/>
      <c r="T37" s="12">
        <f>N37*S37</f>
        <v>0</v>
      </c>
      <c r="U37" s="15"/>
      <c r="V37" s="15">
        <f>P37*(U37/100)</f>
        <v>0</v>
      </c>
      <c r="W37" s="15">
        <f>P37+V37</f>
        <v>0</v>
      </c>
      <c r="X37" s="20"/>
      <c r="Y37" s="19" t="s">
        <v>21</v>
      </c>
      <c r="Z37" s="19" t="s">
        <v>9</v>
      </c>
    </row>
    <row r="38" spans="6:26" s="59" customFormat="1" ht="12.75" customHeight="1" outlineLevel="2">
      <c r="F38" s="53"/>
      <c r="G38" s="54"/>
      <c r="H38" s="54"/>
      <c r="I38" s="54"/>
      <c r="J38" s="55"/>
      <c r="K38" s="54"/>
      <c r="L38" s="6"/>
      <c r="M38" s="14"/>
      <c r="N38" s="6"/>
      <c r="O38" s="14"/>
      <c r="P38" s="56"/>
      <c r="Q38" s="57"/>
      <c r="R38" s="14"/>
      <c r="S38" s="14"/>
      <c r="T38" s="14"/>
      <c r="U38" s="58" t="s">
        <v>1</v>
      </c>
      <c r="V38" s="14"/>
      <c r="W38" s="14"/>
      <c r="X38" s="14"/>
      <c r="Y38" s="54"/>
      <c r="Z38" s="54"/>
    </row>
    <row r="39" spans="6:26" s="32" customFormat="1" ht="16.5" customHeight="1" outlineLevel="1">
      <c r="F39" s="23"/>
      <c r="G39" s="24"/>
      <c r="H39" s="25"/>
      <c r="I39" s="25"/>
      <c r="J39" s="25" t="s">
        <v>60</v>
      </c>
      <c r="K39" s="24"/>
      <c r="L39" s="4"/>
      <c r="M39" s="11"/>
      <c r="N39" s="4"/>
      <c r="O39" s="11"/>
      <c r="P39" s="26">
        <f>SUBTOTAL(9,P40:P41)</f>
        <v>0</v>
      </c>
      <c r="Q39" s="27"/>
      <c r="R39" s="28"/>
      <c r="S39" s="11"/>
      <c r="T39" s="28">
        <f>SUBTOTAL(9,T40:T41)</f>
        <v>0</v>
      </c>
      <c r="U39" s="29" t="s">
        <v>1</v>
      </c>
      <c r="V39" s="26">
        <f>SUBTOTAL(9,V40:V41)</f>
        <v>0</v>
      </c>
      <c r="W39" s="26">
        <f>SUBTOTAL(9,W40:W41)</f>
        <v>0</v>
      </c>
      <c r="X39" s="30"/>
      <c r="Y39" s="31"/>
      <c r="Z39" s="31"/>
    </row>
    <row r="40" spans="6:26" s="22" customFormat="1" ht="12" outlineLevel="2">
      <c r="F40" s="17">
        <v>28</v>
      </c>
      <c r="G40" s="18" t="s">
        <v>5</v>
      </c>
      <c r="H40" s="19" t="s">
        <v>47</v>
      </c>
      <c r="I40" s="19"/>
      <c r="J40" s="20" t="s">
        <v>68</v>
      </c>
      <c r="K40" s="18" t="s">
        <v>7</v>
      </c>
      <c r="L40" s="5">
        <f>0.1*1*485</f>
        <v>48.5</v>
      </c>
      <c r="M40" s="12">
        <v>0</v>
      </c>
      <c r="N40" s="5">
        <f>L40*(1+M40/100)</f>
        <v>48.5</v>
      </c>
      <c r="O40" s="13"/>
      <c r="P40" s="15">
        <f>N40*O40</f>
        <v>0</v>
      </c>
      <c r="Q40" s="21">
        <v>1.89077</v>
      </c>
      <c r="R40" s="12"/>
      <c r="S40" s="21"/>
      <c r="T40" s="12">
        <f>N40*S40</f>
        <v>0</v>
      </c>
      <c r="U40" s="15">
        <v>21</v>
      </c>
      <c r="V40" s="15">
        <f>P40*(U40/100)</f>
        <v>0</v>
      </c>
      <c r="W40" s="15">
        <f>P40+V40</f>
        <v>0</v>
      </c>
      <c r="X40" s="20"/>
      <c r="Y40" s="19" t="s">
        <v>21</v>
      </c>
      <c r="Z40" s="19" t="s">
        <v>10</v>
      </c>
    </row>
    <row r="41" spans="6:26" s="22" customFormat="1" ht="12" outlineLevel="2">
      <c r="F41" s="17">
        <v>29</v>
      </c>
      <c r="G41" s="18" t="s">
        <v>5</v>
      </c>
      <c r="H41" s="19" t="s">
        <v>24</v>
      </c>
      <c r="I41" s="19"/>
      <c r="J41" s="20" t="s">
        <v>96</v>
      </c>
      <c r="K41" s="18" t="s">
        <v>2</v>
      </c>
      <c r="L41" s="5">
        <f>485</f>
        <v>485</v>
      </c>
      <c r="M41" s="12">
        <v>0</v>
      </c>
      <c r="N41" s="5">
        <f>L41*(1+M41/100)</f>
        <v>485</v>
      </c>
      <c r="O41" s="13"/>
      <c r="P41" s="15">
        <f>N41*O41</f>
        <v>0</v>
      </c>
      <c r="Q41" s="21"/>
      <c r="R41" s="12"/>
      <c r="S41" s="21"/>
      <c r="T41" s="12">
        <f>N41*S41</f>
        <v>0</v>
      </c>
      <c r="U41" s="15">
        <v>21</v>
      </c>
      <c r="V41" s="15">
        <f>P41*(U41/100)</f>
        <v>0</v>
      </c>
      <c r="W41" s="15">
        <f>P41+V41</f>
        <v>0</v>
      </c>
      <c r="X41" s="20"/>
      <c r="Y41" s="19" t="s">
        <v>21</v>
      </c>
      <c r="Z41" s="19" t="s">
        <v>10</v>
      </c>
    </row>
    <row r="42" spans="6:26" s="32" customFormat="1" ht="13.5" customHeight="1" outlineLevel="1">
      <c r="F42" s="23"/>
      <c r="G42" s="24"/>
      <c r="H42" s="25"/>
      <c r="I42" s="25"/>
      <c r="J42" s="25" t="s">
        <v>59</v>
      </c>
      <c r="K42" s="24"/>
      <c r="L42" s="4"/>
      <c r="M42" s="11"/>
      <c r="N42" s="4"/>
      <c r="O42" s="11"/>
      <c r="P42" s="26">
        <f>SUBTOTAL(9,P43:P54)</f>
        <v>0</v>
      </c>
      <c r="Q42" s="27"/>
      <c r="R42" s="28"/>
      <c r="S42" s="11"/>
      <c r="T42" s="28">
        <f>SUBTOTAL(9,T43:T53)</f>
        <v>0</v>
      </c>
      <c r="U42" s="29" t="s">
        <v>1</v>
      </c>
      <c r="V42" s="26">
        <f>SUBTOTAL(9,V43:V53)</f>
        <v>0</v>
      </c>
      <c r="W42" s="26">
        <f>SUBTOTAL(9,W43:W53)</f>
        <v>0</v>
      </c>
      <c r="X42" s="30"/>
      <c r="Y42" s="31"/>
      <c r="Z42" s="31"/>
    </row>
    <row r="43" spans="6:26" s="22" customFormat="1" ht="12" outlineLevel="2">
      <c r="F43" s="17">
        <v>32</v>
      </c>
      <c r="G43" s="18" t="s">
        <v>5</v>
      </c>
      <c r="H43" s="19"/>
      <c r="I43" s="19"/>
      <c r="J43" s="20" t="s">
        <v>108</v>
      </c>
      <c r="K43" s="18" t="s">
        <v>2</v>
      </c>
      <c r="L43" s="5">
        <f>173+223</f>
        <v>396</v>
      </c>
      <c r="M43" s="12">
        <v>0</v>
      </c>
      <c r="N43" s="5">
        <f aca="true" t="shared" si="5" ref="N43:N53">L43*(1+M43/100)</f>
        <v>396</v>
      </c>
      <c r="O43" s="13"/>
      <c r="P43" s="15">
        <f aca="true" t="shared" si="6" ref="P43:P54">N43*O43</f>
        <v>0</v>
      </c>
      <c r="Q43" s="21"/>
      <c r="R43" s="12"/>
      <c r="S43" s="21"/>
      <c r="T43" s="12"/>
      <c r="U43" s="15"/>
      <c r="V43" s="15"/>
      <c r="W43" s="15"/>
      <c r="X43" s="20"/>
      <c r="Y43" s="19"/>
      <c r="Z43" s="19"/>
    </row>
    <row r="44" spans="6:26" s="22" customFormat="1" ht="12" outlineLevel="2">
      <c r="F44" s="17">
        <v>33</v>
      </c>
      <c r="G44" s="18" t="s">
        <v>5</v>
      </c>
      <c r="H44" s="19"/>
      <c r="I44" s="19"/>
      <c r="J44" s="20" t="s">
        <v>110</v>
      </c>
      <c r="K44" s="18" t="s">
        <v>2</v>
      </c>
      <c r="L44" s="5">
        <v>20</v>
      </c>
      <c r="M44" s="12">
        <v>0</v>
      </c>
      <c r="N44" s="5">
        <f t="shared" si="5"/>
        <v>20</v>
      </c>
      <c r="O44" s="13"/>
      <c r="P44" s="15">
        <f t="shared" si="6"/>
        <v>0</v>
      </c>
      <c r="Q44" s="21"/>
      <c r="R44" s="12"/>
      <c r="S44" s="21"/>
      <c r="T44" s="12"/>
      <c r="U44" s="15"/>
      <c r="V44" s="15"/>
      <c r="W44" s="15"/>
      <c r="X44" s="20"/>
      <c r="Y44" s="19"/>
      <c r="Z44" s="19"/>
    </row>
    <row r="45" spans="6:26" s="22" customFormat="1" ht="12" outlineLevel="2">
      <c r="F45" s="17">
        <v>34</v>
      </c>
      <c r="G45" s="18"/>
      <c r="H45" s="19"/>
      <c r="I45" s="19"/>
      <c r="J45" s="20" t="s">
        <v>109</v>
      </c>
      <c r="K45" s="18" t="s">
        <v>2</v>
      </c>
      <c r="L45" s="5">
        <f>13+56</f>
        <v>69</v>
      </c>
      <c r="M45" s="12">
        <v>1</v>
      </c>
      <c r="N45" s="5">
        <f>L45*(1+M45/100)</f>
        <v>69.69</v>
      </c>
      <c r="O45" s="13"/>
      <c r="P45" s="15">
        <f t="shared" si="6"/>
        <v>0</v>
      </c>
      <c r="Q45" s="21"/>
      <c r="R45" s="12"/>
      <c r="S45" s="21"/>
      <c r="T45" s="12"/>
      <c r="U45" s="15"/>
      <c r="V45" s="15"/>
      <c r="W45" s="15"/>
      <c r="X45" s="20"/>
      <c r="Y45" s="19"/>
      <c r="Z45" s="19"/>
    </row>
    <row r="46" spans="6:26" s="22" customFormat="1" ht="12" outlineLevel="2">
      <c r="F46" s="17">
        <v>35</v>
      </c>
      <c r="G46" s="18"/>
      <c r="H46" s="19" t="s">
        <v>97</v>
      </c>
      <c r="I46" s="19"/>
      <c r="J46" s="20" t="s">
        <v>106</v>
      </c>
      <c r="K46" s="18" t="s">
        <v>2</v>
      </c>
      <c r="L46" s="5">
        <v>485</v>
      </c>
      <c r="M46" s="12"/>
      <c r="N46" s="5">
        <f t="shared" si="5"/>
        <v>485</v>
      </c>
      <c r="O46" s="13"/>
      <c r="P46" s="15">
        <f t="shared" si="6"/>
        <v>0</v>
      </c>
      <c r="Q46" s="21"/>
      <c r="R46" s="12"/>
      <c r="S46" s="21"/>
      <c r="T46" s="12"/>
      <c r="U46" s="15"/>
      <c r="V46" s="15"/>
      <c r="W46" s="15"/>
      <c r="X46" s="20"/>
      <c r="Y46" s="19"/>
      <c r="Z46" s="19"/>
    </row>
    <row r="47" spans="6:26" s="22" customFormat="1" ht="12" outlineLevel="2">
      <c r="F47" s="17">
        <v>36</v>
      </c>
      <c r="G47" s="18"/>
      <c r="H47" s="19"/>
      <c r="I47" s="19"/>
      <c r="J47" s="20" t="s">
        <v>111</v>
      </c>
      <c r="K47" s="18" t="s">
        <v>2</v>
      </c>
      <c r="L47" s="5">
        <v>485</v>
      </c>
      <c r="M47" s="12">
        <v>0</v>
      </c>
      <c r="N47" s="5">
        <f t="shared" si="5"/>
        <v>485</v>
      </c>
      <c r="O47" s="13"/>
      <c r="P47" s="15">
        <f t="shared" si="6"/>
        <v>0</v>
      </c>
      <c r="Q47" s="21"/>
      <c r="R47" s="12"/>
      <c r="S47" s="21"/>
      <c r="T47" s="12"/>
      <c r="U47" s="15"/>
      <c r="V47" s="15"/>
      <c r="W47" s="15"/>
      <c r="X47" s="20"/>
      <c r="Y47" s="19"/>
      <c r="Z47" s="19"/>
    </row>
    <row r="48" spans="6:26" s="155" customFormat="1" ht="24" outlineLevel="2">
      <c r="F48" s="146" t="s">
        <v>250</v>
      </c>
      <c r="G48" s="147"/>
      <c r="H48" s="148" t="s">
        <v>242</v>
      </c>
      <c r="I48" s="148" t="s">
        <v>243</v>
      </c>
      <c r="J48" s="149" t="s">
        <v>243</v>
      </c>
      <c r="K48" s="147" t="s">
        <v>15</v>
      </c>
      <c r="L48" s="150">
        <v>16</v>
      </c>
      <c r="M48" s="151">
        <v>0</v>
      </c>
      <c r="N48" s="150">
        <f t="shared" si="5"/>
        <v>16</v>
      </c>
      <c r="O48" s="152"/>
      <c r="P48" s="153">
        <f t="shared" si="6"/>
        <v>0</v>
      </c>
      <c r="Q48" s="154"/>
      <c r="R48" s="151"/>
      <c r="S48" s="154"/>
      <c r="T48" s="151"/>
      <c r="U48" s="153"/>
      <c r="V48" s="153"/>
      <c r="W48" s="153"/>
      <c r="X48" s="149"/>
      <c r="Y48" s="148"/>
      <c r="Z48" s="148"/>
    </row>
    <row r="49" spans="6:26" s="155" customFormat="1" ht="24" outlineLevel="2">
      <c r="F49" s="146"/>
      <c r="G49" s="147"/>
      <c r="H49" s="148" t="s">
        <v>244</v>
      </c>
      <c r="I49" s="148" t="s">
        <v>245</v>
      </c>
      <c r="J49" s="149" t="s">
        <v>245</v>
      </c>
      <c r="K49" s="147" t="s">
        <v>15</v>
      </c>
      <c r="L49" s="150">
        <v>28</v>
      </c>
      <c r="M49" s="151">
        <v>0</v>
      </c>
      <c r="N49" s="150">
        <f t="shared" si="5"/>
        <v>28</v>
      </c>
      <c r="O49" s="152"/>
      <c r="P49" s="153">
        <f t="shared" si="6"/>
        <v>0</v>
      </c>
      <c r="Q49" s="154"/>
      <c r="R49" s="151"/>
      <c r="S49" s="154"/>
      <c r="T49" s="151"/>
      <c r="U49" s="153"/>
      <c r="V49" s="153"/>
      <c r="W49" s="153"/>
      <c r="X49" s="149"/>
      <c r="Y49" s="148"/>
      <c r="Z49" s="148"/>
    </row>
    <row r="50" spans="6:26" s="155" customFormat="1" ht="24" outlineLevel="2">
      <c r="F50" s="146"/>
      <c r="G50" s="147"/>
      <c r="H50" s="148" t="s">
        <v>246</v>
      </c>
      <c r="I50" s="148"/>
      <c r="J50" s="149" t="s">
        <v>247</v>
      </c>
      <c r="K50" s="147" t="s">
        <v>15</v>
      </c>
      <c r="L50" s="150">
        <v>3</v>
      </c>
      <c r="M50" s="151">
        <v>0</v>
      </c>
      <c r="N50" s="150">
        <f t="shared" si="5"/>
        <v>3</v>
      </c>
      <c r="O50" s="152"/>
      <c r="P50" s="153">
        <f t="shared" si="6"/>
        <v>0</v>
      </c>
      <c r="Q50" s="154"/>
      <c r="R50" s="151"/>
      <c r="S50" s="154"/>
      <c r="T50" s="151"/>
      <c r="U50" s="153"/>
      <c r="V50" s="153"/>
      <c r="W50" s="153"/>
      <c r="X50" s="149"/>
      <c r="Y50" s="148"/>
      <c r="Z50" s="148"/>
    </row>
    <row r="51" spans="6:26" s="155" customFormat="1" ht="24" outlineLevel="2">
      <c r="F51" s="146"/>
      <c r="G51" s="147"/>
      <c r="H51" s="148" t="s">
        <v>248</v>
      </c>
      <c r="I51" s="148"/>
      <c r="J51" s="149" t="s">
        <v>249</v>
      </c>
      <c r="K51" s="147" t="s">
        <v>15</v>
      </c>
      <c r="L51" s="150">
        <v>1</v>
      </c>
      <c r="M51" s="151">
        <v>0</v>
      </c>
      <c r="N51" s="150">
        <f t="shared" si="5"/>
        <v>1</v>
      </c>
      <c r="O51" s="152"/>
      <c r="P51" s="153">
        <f t="shared" si="6"/>
        <v>0</v>
      </c>
      <c r="Q51" s="154"/>
      <c r="R51" s="151"/>
      <c r="S51" s="154"/>
      <c r="T51" s="151"/>
      <c r="U51" s="153"/>
      <c r="V51" s="153"/>
      <c r="W51" s="153"/>
      <c r="X51" s="149"/>
      <c r="Y51" s="148"/>
      <c r="Z51" s="148"/>
    </row>
    <row r="52" spans="6:26" s="22" customFormat="1" ht="12" outlineLevel="2">
      <c r="F52" s="17">
        <v>38</v>
      </c>
      <c r="G52" s="18"/>
      <c r="H52" s="19"/>
      <c r="I52" s="19"/>
      <c r="J52" s="20" t="s">
        <v>112</v>
      </c>
      <c r="K52" s="18" t="s">
        <v>15</v>
      </c>
      <c r="L52" s="5">
        <v>1</v>
      </c>
      <c r="M52" s="12">
        <v>1</v>
      </c>
      <c r="N52" s="5">
        <f>L52*(1+M52/100)</f>
        <v>1.01</v>
      </c>
      <c r="O52" s="15"/>
      <c r="P52" s="15">
        <f t="shared" si="6"/>
        <v>0</v>
      </c>
      <c r="Q52" s="21"/>
      <c r="R52" s="12"/>
      <c r="S52" s="21"/>
      <c r="T52" s="12"/>
      <c r="U52" s="15"/>
      <c r="V52" s="15"/>
      <c r="W52" s="15"/>
      <c r="X52" s="20"/>
      <c r="Y52" s="19"/>
      <c r="Z52" s="19"/>
    </row>
    <row r="53" spans="6:26" s="22" customFormat="1" ht="24" outlineLevel="2">
      <c r="F53" s="17">
        <v>39</v>
      </c>
      <c r="G53" s="18" t="s">
        <v>5</v>
      </c>
      <c r="H53" s="19" t="s">
        <v>98</v>
      </c>
      <c r="I53" s="19"/>
      <c r="J53" s="20" t="s">
        <v>99</v>
      </c>
      <c r="K53" s="18" t="s">
        <v>15</v>
      </c>
      <c r="L53" s="5">
        <v>17</v>
      </c>
      <c r="M53" s="12">
        <v>0</v>
      </c>
      <c r="N53" s="5">
        <f t="shared" si="5"/>
        <v>17</v>
      </c>
      <c r="O53" s="13"/>
      <c r="P53" s="15">
        <f t="shared" si="6"/>
        <v>0</v>
      </c>
      <c r="Q53" s="21"/>
      <c r="R53" s="12"/>
      <c r="S53" s="21"/>
      <c r="T53" s="12"/>
      <c r="U53" s="15"/>
      <c r="V53" s="15"/>
      <c r="W53" s="15"/>
      <c r="X53" s="20"/>
      <c r="Y53" s="19"/>
      <c r="Z53" s="19"/>
    </row>
    <row r="54" spans="6:26" s="22" customFormat="1" ht="12" outlineLevel="2">
      <c r="F54" s="17">
        <v>40</v>
      </c>
      <c r="G54" s="18"/>
      <c r="H54" s="19" t="s">
        <v>100</v>
      </c>
      <c r="I54" s="19"/>
      <c r="J54" s="20" t="s">
        <v>113</v>
      </c>
      <c r="K54" s="18" t="s">
        <v>15</v>
      </c>
      <c r="L54" s="5">
        <v>1</v>
      </c>
      <c r="M54" s="12">
        <v>0</v>
      </c>
      <c r="N54" s="5">
        <f>L54*(1+M54/100)</f>
        <v>1</v>
      </c>
      <c r="O54" s="13"/>
      <c r="P54" s="15">
        <f t="shared" si="6"/>
        <v>0</v>
      </c>
      <c r="Q54" s="21"/>
      <c r="R54" s="12"/>
      <c r="S54" s="21"/>
      <c r="T54" s="12"/>
      <c r="U54" s="15"/>
      <c r="V54" s="15"/>
      <c r="W54" s="15"/>
      <c r="X54" s="20"/>
      <c r="Y54" s="19"/>
      <c r="Z54" s="19"/>
    </row>
    <row r="55" spans="6:26" s="32" customFormat="1" ht="16.5" customHeight="1" outlineLevel="1">
      <c r="F55" s="17"/>
      <c r="G55" s="24"/>
      <c r="H55" s="25"/>
      <c r="I55" s="25"/>
      <c r="J55" s="25" t="s">
        <v>61</v>
      </c>
      <c r="K55" s="24"/>
      <c r="L55" s="4"/>
      <c r="M55" s="11"/>
      <c r="N55" s="4"/>
      <c r="O55" s="11"/>
      <c r="P55" s="26">
        <f>SUBTOTAL(9,P56:P68)</f>
        <v>0</v>
      </c>
      <c r="Q55" s="27"/>
      <c r="R55" s="28"/>
      <c r="S55" s="11"/>
      <c r="T55" s="28">
        <f>SUBTOTAL(9,T58:T64)</f>
        <v>0</v>
      </c>
      <c r="U55" s="29" t="s">
        <v>1</v>
      </c>
      <c r="V55" s="26">
        <f>SUBTOTAL(9,V58:V64)</f>
        <v>0</v>
      </c>
      <c r="W55" s="26">
        <f>SUBTOTAL(9,W58:W64)</f>
        <v>0</v>
      </c>
      <c r="X55" s="30"/>
      <c r="Y55" s="31"/>
      <c r="Z55" s="31"/>
    </row>
    <row r="56" spans="6:26" s="155" customFormat="1" ht="12" outlineLevel="2">
      <c r="F56" s="146">
        <v>41</v>
      </c>
      <c r="G56" s="147" t="s">
        <v>0</v>
      </c>
      <c r="H56" s="148"/>
      <c r="I56" s="148"/>
      <c r="J56" s="149" t="s">
        <v>115</v>
      </c>
      <c r="K56" s="147" t="s">
        <v>2</v>
      </c>
      <c r="L56" s="150">
        <v>39</v>
      </c>
      <c r="M56" s="151">
        <v>0</v>
      </c>
      <c r="N56" s="150">
        <v>39</v>
      </c>
      <c r="O56" s="152"/>
      <c r="P56" s="153">
        <f>N56*O56</f>
        <v>0</v>
      </c>
      <c r="Q56" s="154"/>
      <c r="R56" s="151"/>
      <c r="S56" s="154"/>
      <c r="T56" s="151"/>
      <c r="U56" s="153"/>
      <c r="V56" s="153"/>
      <c r="W56" s="153"/>
      <c r="X56" s="149"/>
      <c r="Y56" s="148"/>
      <c r="Z56" s="148"/>
    </row>
    <row r="57" spans="6:26" s="22" customFormat="1" ht="12" outlineLevel="2">
      <c r="F57" s="17">
        <v>42</v>
      </c>
      <c r="G57" s="18" t="s">
        <v>0</v>
      </c>
      <c r="H57" s="19"/>
      <c r="I57" s="19"/>
      <c r="J57" s="20" t="s">
        <v>114</v>
      </c>
      <c r="K57" s="18" t="s">
        <v>2</v>
      </c>
      <c r="L57" s="5">
        <v>121</v>
      </c>
      <c r="M57" s="12">
        <v>0</v>
      </c>
      <c r="N57" s="5">
        <v>121</v>
      </c>
      <c r="O57" s="13"/>
      <c r="P57" s="15">
        <f>N57*O57</f>
        <v>0</v>
      </c>
      <c r="Q57" s="21"/>
      <c r="R57" s="12"/>
      <c r="S57" s="21"/>
      <c r="T57" s="12"/>
      <c r="U57" s="15"/>
      <c r="V57" s="15"/>
      <c r="W57" s="15"/>
      <c r="X57" s="20"/>
      <c r="Y57" s="19"/>
      <c r="Z57" s="19"/>
    </row>
    <row r="58" spans="6:26" s="22" customFormat="1" ht="12" outlineLevel="2">
      <c r="F58" s="17">
        <v>43</v>
      </c>
      <c r="G58" s="18" t="s">
        <v>0</v>
      </c>
      <c r="H58" s="19" t="s">
        <v>85</v>
      </c>
      <c r="I58" s="19"/>
      <c r="J58" s="20" t="s">
        <v>116</v>
      </c>
      <c r="K58" s="18" t="s">
        <v>2</v>
      </c>
      <c r="L58" s="5">
        <v>15</v>
      </c>
      <c r="M58" s="12">
        <v>0</v>
      </c>
      <c r="N58" s="5">
        <f>L58*(1+M58/100)</f>
        <v>15</v>
      </c>
      <c r="O58" s="13"/>
      <c r="P58" s="15">
        <f>N58*O58</f>
        <v>0</v>
      </c>
      <c r="Q58" s="21">
        <v>0.0546</v>
      </c>
      <c r="R58" s="12"/>
      <c r="S58" s="21"/>
      <c r="T58" s="12">
        <f>N58*S58</f>
        <v>0</v>
      </c>
      <c r="U58" s="15">
        <v>21</v>
      </c>
      <c r="V58" s="15">
        <f>P58*(U58/100)</f>
        <v>0</v>
      </c>
      <c r="W58" s="15">
        <f>P58+V58</f>
        <v>0</v>
      </c>
      <c r="X58" s="20"/>
      <c r="Y58" s="19" t="s">
        <v>21</v>
      </c>
      <c r="Z58" s="19" t="s">
        <v>18</v>
      </c>
    </row>
    <row r="59" spans="6:26" s="22" customFormat="1" ht="24" outlineLevel="2">
      <c r="F59" s="17">
        <v>44</v>
      </c>
      <c r="G59" s="18" t="s">
        <v>0</v>
      </c>
      <c r="H59" s="19" t="s">
        <v>86</v>
      </c>
      <c r="I59" s="19"/>
      <c r="J59" s="20" t="s">
        <v>101</v>
      </c>
      <c r="K59" s="18" t="s">
        <v>15</v>
      </c>
      <c r="L59" s="5">
        <v>17</v>
      </c>
      <c r="M59" s="12">
        <v>0</v>
      </c>
      <c r="N59" s="5">
        <f>L59*(1+M59/100)</f>
        <v>17</v>
      </c>
      <c r="O59" s="13"/>
      <c r="P59" s="15">
        <f aca="true" t="shared" si="7" ref="P59:P68">N59*O59</f>
        <v>0</v>
      </c>
      <c r="Q59" s="21">
        <v>0.051</v>
      </c>
      <c r="R59" s="12"/>
      <c r="S59" s="21"/>
      <c r="T59" s="12">
        <f>N59*S59</f>
        <v>0</v>
      </c>
      <c r="U59" s="15">
        <v>21</v>
      </c>
      <c r="V59" s="15">
        <f>P59*(U59/100)</f>
        <v>0</v>
      </c>
      <c r="W59" s="15">
        <f>P59+V59</f>
        <v>0</v>
      </c>
      <c r="X59" s="20"/>
      <c r="Y59" s="19" t="s">
        <v>21</v>
      </c>
      <c r="Z59" s="19" t="s">
        <v>18</v>
      </c>
    </row>
    <row r="60" spans="6:26" s="22" customFormat="1" ht="12" outlineLevel="2">
      <c r="F60" s="17">
        <v>45</v>
      </c>
      <c r="G60" s="18"/>
      <c r="H60" s="19"/>
      <c r="I60" s="19"/>
      <c r="J60" s="20" t="s">
        <v>117</v>
      </c>
      <c r="K60" s="18" t="s">
        <v>15</v>
      </c>
      <c r="L60" s="5">
        <v>1</v>
      </c>
      <c r="M60" s="12"/>
      <c r="N60" s="5">
        <v>2</v>
      </c>
      <c r="O60" s="13"/>
      <c r="P60" s="15">
        <f t="shared" si="7"/>
        <v>0</v>
      </c>
      <c r="Q60" s="21"/>
      <c r="R60" s="12"/>
      <c r="S60" s="21"/>
      <c r="T60" s="12"/>
      <c r="U60" s="15"/>
      <c r="V60" s="15"/>
      <c r="W60" s="15"/>
      <c r="X60" s="20"/>
      <c r="Y60" s="19"/>
      <c r="Z60" s="19"/>
    </row>
    <row r="61" spans="6:26" s="155" customFormat="1" ht="12" outlineLevel="2">
      <c r="F61" s="146">
        <v>46</v>
      </c>
      <c r="G61" s="147"/>
      <c r="H61" s="148"/>
      <c r="I61" s="148"/>
      <c r="J61" s="149" t="s">
        <v>118</v>
      </c>
      <c r="K61" s="147" t="s">
        <v>15</v>
      </c>
      <c r="L61" s="150">
        <v>16</v>
      </c>
      <c r="M61" s="151"/>
      <c r="N61" s="150">
        <v>16</v>
      </c>
      <c r="O61" s="153"/>
      <c r="P61" s="153">
        <f t="shared" si="7"/>
        <v>0</v>
      </c>
      <c r="Q61" s="154"/>
      <c r="R61" s="151"/>
      <c r="S61" s="154"/>
      <c r="T61" s="151"/>
      <c r="U61" s="153"/>
      <c r="V61" s="153"/>
      <c r="W61" s="153"/>
      <c r="X61" s="149"/>
      <c r="Y61" s="148"/>
      <c r="Z61" s="148"/>
    </row>
    <row r="62" spans="6:26" s="22" customFormat="1" ht="12" outlineLevel="2">
      <c r="F62" s="17">
        <v>47</v>
      </c>
      <c r="G62" s="18" t="s">
        <v>0</v>
      </c>
      <c r="H62" s="19"/>
      <c r="I62" s="19"/>
      <c r="J62" s="20" t="s">
        <v>102</v>
      </c>
      <c r="K62" s="18" t="s">
        <v>15</v>
      </c>
      <c r="L62" s="5">
        <v>12</v>
      </c>
      <c r="M62" s="12">
        <v>0</v>
      </c>
      <c r="N62" s="5">
        <f aca="true" t="shared" si="8" ref="N62:N68">L62*(1+M62/100)</f>
        <v>12</v>
      </c>
      <c r="O62" s="15"/>
      <c r="P62" s="15">
        <f t="shared" si="7"/>
        <v>0</v>
      </c>
      <c r="Q62" s="21">
        <v>0.028</v>
      </c>
      <c r="R62" s="12"/>
      <c r="S62" s="21"/>
      <c r="T62" s="12">
        <f>N62*S62</f>
        <v>0</v>
      </c>
      <c r="U62" s="15"/>
      <c r="V62" s="15">
        <f>P62*(U62/100)</f>
        <v>0</v>
      </c>
      <c r="W62" s="15">
        <f>P62+V62</f>
        <v>0</v>
      </c>
      <c r="X62" s="20"/>
      <c r="Y62" s="19" t="s">
        <v>21</v>
      </c>
      <c r="Z62" s="19" t="s">
        <v>18</v>
      </c>
    </row>
    <row r="63" spans="6:26" s="22" customFormat="1" ht="12" outlineLevel="2">
      <c r="F63" s="17">
        <v>48</v>
      </c>
      <c r="G63" s="18"/>
      <c r="H63" s="19"/>
      <c r="I63" s="19"/>
      <c r="J63" s="20" t="s">
        <v>119</v>
      </c>
      <c r="K63" s="18" t="s">
        <v>15</v>
      </c>
      <c r="L63" s="5">
        <v>10</v>
      </c>
      <c r="M63" s="12">
        <v>0</v>
      </c>
      <c r="N63" s="5">
        <f t="shared" si="8"/>
        <v>10</v>
      </c>
      <c r="O63" s="15"/>
      <c r="P63" s="15">
        <f t="shared" si="7"/>
        <v>0</v>
      </c>
      <c r="Q63" s="21"/>
      <c r="R63" s="12"/>
      <c r="S63" s="21"/>
      <c r="T63" s="12"/>
      <c r="U63" s="15"/>
      <c r="V63" s="15"/>
      <c r="W63" s="15"/>
      <c r="X63" s="20"/>
      <c r="Y63" s="19"/>
      <c r="Z63" s="19"/>
    </row>
    <row r="64" spans="6:26" s="22" customFormat="1" ht="12" outlineLevel="2">
      <c r="F64" s="17">
        <v>49</v>
      </c>
      <c r="G64" s="18"/>
      <c r="H64" s="19"/>
      <c r="I64" s="19"/>
      <c r="J64" s="20" t="s">
        <v>103</v>
      </c>
      <c r="K64" s="18" t="s">
        <v>15</v>
      </c>
      <c r="L64" s="5">
        <v>6</v>
      </c>
      <c r="M64" s="12">
        <v>0</v>
      </c>
      <c r="N64" s="5">
        <f t="shared" si="8"/>
        <v>6</v>
      </c>
      <c r="O64" s="15"/>
      <c r="P64" s="15">
        <f t="shared" si="7"/>
        <v>0</v>
      </c>
      <c r="Q64" s="21"/>
      <c r="R64" s="12"/>
      <c r="S64" s="21"/>
      <c r="T64" s="12"/>
      <c r="U64" s="15"/>
      <c r="V64" s="15"/>
      <c r="W64" s="15"/>
      <c r="X64" s="20"/>
      <c r="Y64" s="19"/>
      <c r="Z64" s="19"/>
    </row>
    <row r="65" spans="6:26" s="22" customFormat="1" ht="12" outlineLevel="2">
      <c r="F65" s="17">
        <v>50</v>
      </c>
      <c r="G65" s="18"/>
      <c r="H65" s="19"/>
      <c r="I65" s="19"/>
      <c r="J65" s="20" t="s">
        <v>120</v>
      </c>
      <c r="K65" s="18" t="s">
        <v>15</v>
      </c>
      <c r="L65" s="5">
        <v>13</v>
      </c>
      <c r="M65" s="12">
        <v>0</v>
      </c>
      <c r="N65" s="5">
        <f t="shared" si="8"/>
        <v>13</v>
      </c>
      <c r="O65" s="15"/>
      <c r="P65" s="15">
        <f t="shared" si="7"/>
        <v>0</v>
      </c>
      <c r="Q65" s="21"/>
      <c r="R65" s="12"/>
      <c r="S65" s="21"/>
      <c r="T65" s="12"/>
      <c r="U65" s="15"/>
      <c r="V65" s="15"/>
      <c r="W65" s="15"/>
      <c r="X65" s="20"/>
      <c r="Y65" s="19"/>
      <c r="Z65" s="19"/>
    </row>
    <row r="66" spans="6:26" s="22" customFormat="1" ht="12" outlineLevel="2">
      <c r="F66" s="17">
        <v>51</v>
      </c>
      <c r="G66" s="18"/>
      <c r="H66" s="19"/>
      <c r="I66" s="19"/>
      <c r="J66" s="20" t="s">
        <v>121</v>
      </c>
      <c r="K66" s="18" t="s">
        <v>15</v>
      </c>
      <c r="L66" s="5">
        <v>3</v>
      </c>
      <c r="M66" s="12">
        <v>0</v>
      </c>
      <c r="N66" s="5">
        <f t="shared" si="8"/>
        <v>3</v>
      </c>
      <c r="O66" s="15"/>
      <c r="P66" s="15">
        <f t="shared" si="7"/>
        <v>0</v>
      </c>
      <c r="Q66" s="21"/>
      <c r="R66" s="12"/>
      <c r="S66" s="21"/>
      <c r="T66" s="12"/>
      <c r="U66" s="15"/>
      <c r="V66" s="15"/>
      <c r="W66" s="15"/>
      <c r="X66" s="20"/>
      <c r="Y66" s="19"/>
      <c r="Z66" s="19"/>
    </row>
    <row r="67" spans="6:26" s="22" customFormat="1" ht="12.75" customHeight="1" outlineLevel="2">
      <c r="F67" s="17">
        <v>52</v>
      </c>
      <c r="G67" s="18"/>
      <c r="H67" s="19"/>
      <c r="I67" s="19"/>
      <c r="J67" s="20" t="s">
        <v>104</v>
      </c>
      <c r="K67" s="18" t="s">
        <v>15</v>
      </c>
      <c r="L67" s="5">
        <v>28</v>
      </c>
      <c r="M67" s="12">
        <v>0</v>
      </c>
      <c r="N67" s="5">
        <f t="shared" si="8"/>
        <v>28</v>
      </c>
      <c r="O67" s="13"/>
      <c r="P67" s="15">
        <f t="shared" si="7"/>
        <v>0</v>
      </c>
      <c r="Q67" s="21"/>
      <c r="R67" s="12"/>
      <c r="S67" s="21"/>
      <c r="T67" s="12"/>
      <c r="U67" s="15"/>
      <c r="V67" s="15"/>
      <c r="W67" s="15"/>
      <c r="X67" s="20"/>
      <c r="Y67" s="19"/>
      <c r="Z67" s="19"/>
    </row>
    <row r="68" spans="6:26" s="22" customFormat="1" ht="12" outlineLevel="2">
      <c r="F68" s="17">
        <v>53</v>
      </c>
      <c r="G68" s="18"/>
      <c r="H68" s="19"/>
      <c r="I68" s="19"/>
      <c r="J68" s="20" t="s">
        <v>122</v>
      </c>
      <c r="K68" s="18" t="s">
        <v>15</v>
      </c>
      <c r="L68" s="5">
        <v>1</v>
      </c>
      <c r="M68" s="12">
        <v>0</v>
      </c>
      <c r="N68" s="5">
        <f t="shared" si="8"/>
        <v>1</v>
      </c>
      <c r="O68" s="13"/>
      <c r="P68" s="15">
        <f t="shared" si="7"/>
        <v>0</v>
      </c>
      <c r="Q68" s="21"/>
      <c r="R68" s="12"/>
      <c r="S68" s="21"/>
      <c r="T68" s="12"/>
      <c r="U68" s="15"/>
      <c r="V68" s="15"/>
      <c r="W68" s="15"/>
      <c r="X68" s="20"/>
      <c r="Y68" s="19"/>
      <c r="Z68" s="19"/>
    </row>
    <row r="69" spans="6:26" s="59" customFormat="1" ht="12.75" customHeight="1" outlineLevel="2">
      <c r="F69" s="53">
        <v>57</v>
      </c>
      <c r="G69" s="54"/>
      <c r="H69" s="54"/>
      <c r="I69" s="54"/>
      <c r="J69" s="55"/>
      <c r="K69" s="54"/>
      <c r="L69" s="6"/>
      <c r="M69" s="14"/>
      <c r="N69" s="6"/>
      <c r="O69" s="14"/>
      <c r="P69" s="56"/>
      <c r="Q69" s="57"/>
      <c r="R69" s="14"/>
      <c r="S69" s="14"/>
      <c r="T69" s="14"/>
      <c r="U69" s="58" t="s">
        <v>1</v>
      </c>
      <c r="V69" s="14"/>
      <c r="W69" s="14"/>
      <c r="X69" s="14"/>
      <c r="Y69" s="54"/>
      <c r="Z69" s="54"/>
    </row>
    <row r="70" spans="6:26" s="32" customFormat="1" ht="16.5" customHeight="1" outlineLevel="1">
      <c r="F70" s="23"/>
      <c r="G70" s="24"/>
      <c r="H70" s="25"/>
      <c r="I70" s="25"/>
      <c r="J70" s="25" t="s">
        <v>63</v>
      </c>
      <c r="K70" s="24"/>
      <c r="L70" s="4"/>
      <c r="M70" s="11"/>
      <c r="N70" s="4"/>
      <c r="O70" s="11"/>
      <c r="P70" s="26">
        <f>SUBTOTAL(9,P71:P72)</f>
        <v>0</v>
      </c>
      <c r="Q70" s="27"/>
      <c r="R70" s="28"/>
      <c r="S70" s="11"/>
      <c r="T70" s="28">
        <f>SUBTOTAL(9,T71:T72)</f>
        <v>0</v>
      </c>
      <c r="U70" s="29" t="s">
        <v>1</v>
      </c>
      <c r="V70" s="26">
        <f>SUBTOTAL(9,V71:V72)</f>
        <v>0</v>
      </c>
      <c r="W70" s="26">
        <f>SUBTOTAL(9,W71:W72)</f>
        <v>0</v>
      </c>
      <c r="X70" s="30"/>
      <c r="Y70" s="31"/>
      <c r="Z70" s="31"/>
    </row>
    <row r="71" spans="6:26" s="22" customFormat="1" ht="12" outlineLevel="2">
      <c r="F71" s="17">
        <v>54</v>
      </c>
      <c r="G71" s="18" t="s">
        <v>5</v>
      </c>
      <c r="H71" s="19" t="s">
        <v>48</v>
      </c>
      <c r="I71" s="19"/>
      <c r="J71" s="20" t="s">
        <v>82</v>
      </c>
      <c r="K71" s="18" t="s">
        <v>3</v>
      </c>
      <c r="L71" s="5">
        <v>10</v>
      </c>
      <c r="M71" s="12">
        <v>0</v>
      </c>
      <c r="N71" s="5">
        <f>L71*(1+M71/100)</f>
        <v>10</v>
      </c>
      <c r="O71" s="13"/>
      <c r="P71" s="15">
        <f>N71*O71</f>
        <v>0</v>
      </c>
      <c r="Q71" s="21"/>
      <c r="R71" s="12"/>
      <c r="S71" s="21"/>
      <c r="T71" s="12">
        <f>N71*S71</f>
        <v>0</v>
      </c>
      <c r="U71" s="15">
        <v>21</v>
      </c>
      <c r="V71" s="15">
        <f>P71*(U71/100)</f>
        <v>0</v>
      </c>
      <c r="W71" s="15">
        <f>P71+V71</f>
        <v>0</v>
      </c>
      <c r="X71" s="20"/>
      <c r="Y71" s="19" t="s">
        <v>21</v>
      </c>
      <c r="Z71" s="19" t="s">
        <v>11</v>
      </c>
    </row>
    <row r="72" spans="6:26" s="59" customFormat="1" ht="12.75" customHeight="1" outlineLevel="2">
      <c r="F72" s="53"/>
      <c r="G72" s="54"/>
      <c r="H72" s="54"/>
      <c r="I72" s="54"/>
      <c r="J72" s="55"/>
      <c r="K72" s="54"/>
      <c r="L72" s="6"/>
      <c r="M72" s="14"/>
      <c r="N72" s="6"/>
      <c r="O72" s="14"/>
      <c r="P72" s="56"/>
      <c r="Q72" s="57"/>
      <c r="R72" s="14"/>
      <c r="S72" s="14"/>
      <c r="T72" s="14"/>
      <c r="U72" s="58" t="s">
        <v>1</v>
      </c>
      <c r="V72" s="14"/>
      <c r="W72" s="14"/>
      <c r="X72" s="14"/>
      <c r="Y72" s="54"/>
      <c r="Z72" s="54"/>
    </row>
    <row r="73" spans="6:14" ht="12.75">
      <c r="F73" s="145" t="s">
        <v>251</v>
      </c>
      <c r="G73" s="167" t="s">
        <v>252</v>
      </c>
      <c r="H73" s="168"/>
      <c r="I73" s="168"/>
      <c r="J73" s="168"/>
      <c r="K73" s="168"/>
      <c r="L73" s="168"/>
      <c r="M73" s="168"/>
      <c r="N73" s="168"/>
    </row>
  </sheetData>
  <sheetProtection/>
  <mergeCells count="1">
    <mergeCell ref="G73:N73"/>
  </mergeCells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90" r:id="rId1"/>
  <headerFooter alignWithMargins="0">
    <oddFooter>&amp;L&amp;8www.euroCALC.cz&amp;C&amp;8&amp;P z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F1:Z82"/>
  <sheetViews>
    <sheetView zoomScaleSheetLayoutView="100" zoomScalePageLayoutView="0" workbookViewId="0" topLeftCell="H1">
      <pane ySplit="3" topLeftCell="A47" activePane="bottomLeft" state="frozen"/>
      <selection pane="topLeft" activeCell="A1" sqref="A1"/>
      <selection pane="bottomLeft" activeCell="P58" sqref="P58"/>
    </sheetView>
  </sheetViews>
  <sheetFormatPr defaultColWidth="9.140625" defaultRowHeight="12.75" outlineLevelRow="2"/>
  <cols>
    <col min="1" max="5" width="0" style="75" hidden="1" customWidth="1"/>
    <col min="6" max="6" width="5.8515625" style="133" customWidth="1"/>
    <col min="7" max="7" width="4.28125" style="138" customWidth="1"/>
    <col min="8" max="8" width="14.28125" style="137" customWidth="1"/>
    <col min="9" max="9" width="10.00390625" style="137" hidden="1" customWidth="1"/>
    <col min="10" max="10" width="57.140625" style="139" customWidth="1"/>
    <col min="11" max="11" width="4.28125" style="138" customWidth="1"/>
    <col min="12" max="12" width="13.7109375" style="140" customWidth="1"/>
    <col min="13" max="13" width="6.8515625" style="134" customWidth="1"/>
    <col min="14" max="14" width="13.421875" style="140" customWidth="1"/>
    <col min="15" max="15" width="12.421875" style="134" customWidth="1"/>
    <col min="16" max="16" width="15.7109375" style="135" customWidth="1"/>
    <col min="17" max="17" width="11.421875" style="136" hidden="1" customWidth="1"/>
    <col min="18" max="18" width="14.28125" style="134" customWidth="1"/>
    <col min="19" max="19" width="11.421875" style="134" hidden="1" customWidth="1"/>
    <col min="20" max="20" width="14.28125" style="134" hidden="1" customWidth="1"/>
    <col min="21" max="21" width="9.7109375" style="134" hidden="1" customWidth="1"/>
    <col min="22" max="22" width="14.57421875" style="134" hidden="1" customWidth="1"/>
    <col min="23" max="23" width="15.7109375" style="134" hidden="1" customWidth="1"/>
    <col min="24" max="24" width="25.7109375" style="134" hidden="1" customWidth="1"/>
    <col min="25" max="26" width="10.00390625" style="137" hidden="1" customWidth="1"/>
    <col min="27" max="27" width="9.421875" style="75" customWidth="1"/>
    <col min="28" max="16384" width="9.140625" style="75" customWidth="1"/>
  </cols>
  <sheetData>
    <row r="1" spans="6:26" ht="21" customHeight="1">
      <c r="F1" s="69"/>
      <c r="G1" s="70"/>
      <c r="H1" s="70"/>
      <c r="I1" s="70"/>
      <c r="J1" s="70"/>
      <c r="K1" s="70"/>
      <c r="L1" s="71"/>
      <c r="M1" s="72"/>
      <c r="N1" s="71"/>
      <c r="O1" s="72"/>
      <c r="P1" s="73"/>
      <c r="Q1" s="74"/>
      <c r="R1" s="72"/>
      <c r="S1" s="72"/>
      <c r="T1" s="72"/>
      <c r="U1" s="72"/>
      <c r="V1" s="72"/>
      <c r="W1" s="72"/>
      <c r="X1" s="72"/>
      <c r="Y1" s="70"/>
      <c r="Z1" s="70"/>
    </row>
    <row r="2" spans="6:26" ht="21" customHeight="1">
      <c r="F2" s="69"/>
      <c r="G2" s="70"/>
      <c r="H2" s="70"/>
      <c r="I2" s="70"/>
      <c r="J2" s="70"/>
      <c r="K2" s="70"/>
      <c r="L2" s="71"/>
      <c r="M2" s="72"/>
      <c r="N2" s="71"/>
      <c r="O2" s="72"/>
      <c r="P2" s="73"/>
      <c r="Q2" s="74"/>
      <c r="R2" s="72"/>
      <c r="S2" s="72"/>
      <c r="T2" s="72"/>
      <c r="U2" s="72"/>
      <c r="V2" s="72"/>
      <c r="W2" s="72"/>
      <c r="X2" s="72"/>
      <c r="Y2" s="70"/>
      <c r="Z2" s="70"/>
    </row>
    <row r="3" spans="6:26" s="78" customFormat="1" ht="13.5" thickBot="1">
      <c r="F3" s="76" t="s">
        <v>26</v>
      </c>
      <c r="G3" s="76" t="s">
        <v>14</v>
      </c>
      <c r="H3" s="76" t="s">
        <v>13</v>
      </c>
      <c r="I3" s="76" t="s">
        <v>50</v>
      </c>
      <c r="J3" s="77" t="s">
        <v>20</v>
      </c>
      <c r="K3" s="76" t="s">
        <v>4</v>
      </c>
      <c r="L3" s="76" t="s">
        <v>62</v>
      </c>
      <c r="M3" s="76" t="s">
        <v>25</v>
      </c>
      <c r="N3" s="76" t="s">
        <v>53</v>
      </c>
      <c r="O3" s="76" t="s">
        <v>52</v>
      </c>
      <c r="P3" s="76" t="s">
        <v>16</v>
      </c>
      <c r="Q3" s="76" t="s">
        <v>55</v>
      </c>
      <c r="R3" s="76" t="s">
        <v>29</v>
      </c>
      <c r="S3" s="76" t="s">
        <v>58</v>
      </c>
      <c r="T3" s="76" t="s">
        <v>22</v>
      </c>
      <c r="U3" s="76" t="s">
        <v>49</v>
      </c>
      <c r="V3" s="76" t="s">
        <v>12</v>
      </c>
      <c r="W3" s="76" t="s">
        <v>51</v>
      </c>
      <c r="X3" s="77" t="s">
        <v>56</v>
      </c>
      <c r="Y3" s="76" t="s">
        <v>23</v>
      </c>
      <c r="Z3" s="76" t="s">
        <v>19</v>
      </c>
    </row>
    <row r="4" spans="6:26" ht="11.25" customHeight="1">
      <c r="F4" s="79"/>
      <c r="G4" s="80"/>
      <c r="H4" s="81"/>
      <c r="I4" s="81"/>
      <c r="J4" s="82"/>
      <c r="K4" s="80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83"/>
      <c r="Y4" s="81"/>
      <c r="Z4" s="81"/>
    </row>
    <row r="5" spans="6:26" s="93" customFormat="1" ht="17.25" customHeight="1">
      <c r="F5" s="84"/>
      <c r="G5" s="85"/>
      <c r="H5" s="86"/>
      <c r="I5" s="86"/>
      <c r="J5" s="86" t="s">
        <v>145</v>
      </c>
      <c r="K5" s="85"/>
      <c r="L5" s="87"/>
      <c r="M5" s="88"/>
      <c r="N5" s="87"/>
      <c r="O5" s="88"/>
      <c r="P5" s="89">
        <f>SUBTOTAL(9,P6:P81)</f>
        <v>0</v>
      </c>
      <c r="Q5" s="90"/>
      <c r="R5" s="91"/>
      <c r="S5" s="88"/>
      <c r="T5" s="91">
        <f>SUBTOTAL(9,T6:T81)</f>
        <v>0</v>
      </c>
      <c r="U5" s="92" t="s">
        <v>1</v>
      </c>
      <c r="V5" s="89">
        <f>SUBTOTAL(9,V6:V81)</f>
        <v>0</v>
      </c>
      <c r="W5" s="89">
        <f>SUBTOTAL(9,W6:W81)</f>
        <v>0</v>
      </c>
      <c r="Y5" s="94"/>
      <c r="Z5" s="94"/>
    </row>
    <row r="6" spans="6:26" s="103" customFormat="1" ht="16.5" customHeight="1" outlineLevel="1">
      <c r="F6" s="95"/>
      <c r="G6" s="80"/>
      <c r="H6" s="96"/>
      <c r="I6" s="96"/>
      <c r="J6" s="96" t="s">
        <v>57</v>
      </c>
      <c r="K6" s="80"/>
      <c r="L6" s="97"/>
      <c r="M6" s="98"/>
      <c r="N6" s="97"/>
      <c r="O6" s="98"/>
      <c r="P6" s="99">
        <f>SUBTOTAL(9,P9:P27)</f>
        <v>0</v>
      </c>
      <c r="Q6" s="100"/>
      <c r="R6" s="101"/>
      <c r="S6" s="98"/>
      <c r="T6" s="101">
        <f>SUBTOTAL(9,T9:T28)</f>
        <v>0</v>
      </c>
      <c r="U6" s="102" t="s">
        <v>1</v>
      </c>
      <c r="V6" s="99">
        <f>SUBTOTAL(9,V9:V28)</f>
        <v>0</v>
      </c>
      <c r="W6" s="99">
        <f>SUBTOTAL(9,W9:W28)</f>
        <v>0</v>
      </c>
      <c r="Y6" s="81"/>
      <c r="Z6" s="81"/>
    </row>
    <row r="7" spans="6:26" s="112" customFormat="1" ht="12" outlineLevel="2">
      <c r="F7" s="104">
        <v>1</v>
      </c>
      <c r="G7" s="105" t="s">
        <v>0</v>
      </c>
      <c r="H7" s="106" t="s">
        <v>88</v>
      </c>
      <c r="I7" s="106"/>
      <c r="J7" s="107" t="s">
        <v>89</v>
      </c>
      <c r="K7" s="105" t="s">
        <v>90</v>
      </c>
      <c r="L7" s="108">
        <v>5</v>
      </c>
      <c r="M7" s="109">
        <v>0</v>
      </c>
      <c r="N7" s="108">
        <f aca="true" t="shared" si="0" ref="N7:N27">L7*(1+M7/100)</f>
        <v>5</v>
      </c>
      <c r="O7" s="109"/>
      <c r="P7" s="110">
        <f aca="true" t="shared" si="1" ref="P7:P27">N7*O7</f>
        <v>0</v>
      </c>
      <c r="Q7" s="111"/>
      <c r="R7" s="109"/>
      <c r="S7" s="111"/>
      <c r="T7" s="109"/>
      <c r="U7" s="110"/>
      <c r="V7" s="110"/>
      <c r="W7" s="110"/>
      <c r="X7" s="107"/>
      <c r="Y7" s="106"/>
      <c r="Z7" s="106"/>
    </row>
    <row r="8" spans="6:26" s="112" customFormat="1" ht="12" outlineLevel="2">
      <c r="F8" s="104">
        <v>2</v>
      </c>
      <c r="G8" s="105" t="s">
        <v>5</v>
      </c>
      <c r="H8" s="106" t="s">
        <v>91</v>
      </c>
      <c r="I8" s="106"/>
      <c r="J8" s="107" t="s">
        <v>105</v>
      </c>
      <c r="K8" s="105" t="s">
        <v>7</v>
      </c>
      <c r="L8" s="108">
        <f>1.5*0.3*75</f>
        <v>33.75</v>
      </c>
      <c r="M8" s="109">
        <v>0</v>
      </c>
      <c r="N8" s="108">
        <f t="shared" si="0"/>
        <v>33.75</v>
      </c>
      <c r="O8" s="109"/>
      <c r="P8" s="110">
        <f t="shared" si="1"/>
        <v>0</v>
      </c>
      <c r="Q8" s="111"/>
      <c r="R8" s="109"/>
      <c r="S8" s="111"/>
      <c r="T8" s="109"/>
      <c r="U8" s="110"/>
      <c r="V8" s="110"/>
      <c r="W8" s="110"/>
      <c r="X8" s="107"/>
      <c r="Y8" s="106"/>
      <c r="Z8" s="106"/>
    </row>
    <row r="9" spans="6:26" s="112" customFormat="1" ht="24" outlineLevel="2">
      <c r="F9" s="104">
        <v>3</v>
      </c>
      <c r="G9" s="105" t="s">
        <v>5</v>
      </c>
      <c r="H9" s="106" t="s">
        <v>30</v>
      </c>
      <c r="I9" s="106"/>
      <c r="J9" s="107" t="s">
        <v>87</v>
      </c>
      <c r="K9" s="105" t="s">
        <v>7</v>
      </c>
      <c r="L9" s="108">
        <f>(3*2*2)+(15*1*1)</f>
        <v>27</v>
      </c>
      <c r="M9" s="109">
        <v>0</v>
      </c>
      <c r="N9" s="108">
        <f t="shared" si="0"/>
        <v>27</v>
      </c>
      <c r="O9" s="113"/>
      <c r="P9" s="110">
        <f t="shared" si="1"/>
        <v>0</v>
      </c>
      <c r="Q9" s="111"/>
      <c r="R9" s="109"/>
      <c r="S9" s="111"/>
      <c r="T9" s="109">
        <f aca="true" t="shared" si="2" ref="T9:T27">N9*S9</f>
        <v>0</v>
      </c>
      <c r="U9" s="110">
        <v>21</v>
      </c>
      <c r="V9" s="110">
        <f aca="true" t="shared" si="3" ref="V9:V27">P9*(U9/100)</f>
        <v>0</v>
      </c>
      <c r="W9" s="110">
        <f aca="true" t="shared" si="4" ref="W9:W27">P9+V9</f>
        <v>0</v>
      </c>
      <c r="X9" s="107"/>
      <c r="Y9" s="106" t="s">
        <v>21</v>
      </c>
      <c r="Z9" s="106" t="s">
        <v>8</v>
      </c>
    </row>
    <row r="10" spans="6:26" s="112" customFormat="1" ht="12" outlineLevel="2">
      <c r="F10" s="104">
        <v>4</v>
      </c>
      <c r="G10" s="105" t="s">
        <v>5</v>
      </c>
      <c r="H10" s="106" t="s">
        <v>31</v>
      </c>
      <c r="I10" s="106"/>
      <c r="J10" s="107" t="s">
        <v>72</v>
      </c>
      <c r="K10" s="105" t="s">
        <v>7</v>
      </c>
      <c r="L10" s="114">
        <f>(2*2*(2.1+1.1+1.8+1.2+2+1.8))</f>
        <v>40</v>
      </c>
      <c r="M10" s="109">
        <v>0</v>
      </c>
      <c r="N10" s="108">
        <f t="shared" si="0"/>
        <v>40</v>
      </c>
      <c r="O10" s="113"/>
      <c r="P10" s="110">
        <f t="shared" si="1"/>
        <v>0</v>
      </c>
      <c r="Q10" s="111"/>
      <c r="R10" s="109"/>
      <c r="S10" s="111"/>
      <c r="T10" s="109">
        <f t="shared" si="2"/>
        <v>0</v>
      </c>
      <c r="U10" s="110">
        <v>21</v>
      </c>
      <c r="V10" s="110">
        <f t="shared" si="3"/>
        <v>0</v>
      </c>
      <c r="W10" s="110">
        <f t="shared" si="4"/>
        <v>0</v>
      </c>
      <c r="X10" s="107"/>
      <c r="Y10" s="106" t="s">
        <v>21</v>
      </c>
      <c r="Z10" s="106" t="s">
        <v>8</v>
      </c>
    </row>
    <row r="11" spans="6:26" s="112" customFormat="1" ht="12" outlineLevel="2">
      <c r="F11" s="104">
        <v>5</v>
      </c>
      <c r="G11" s="105" t="s">
        <v>5</v>
      </c>
      <c r="H11" s="106" t="s">
        <v>32</v>
      </c>
      <c r="I11" s="106"/>
      <c r="J11" s="107" t="s">
        <v>78</v>
      </c>
      <c r="K11" s="105" t="s">
        <v>7</v>
      </c>
      <c r="L11" s="114">
        <f>0.3*L10</f>
        <v>12</v>
      </c>
      <c r="M11" s="109">
        <v>0</v>
      </c>
      <c r="N11" s="108">
        <f t="shared" si="0"/>
        <v>12</v>
      </c>
      <c r="O11" s="113"/>
      <c r="P11" s="110">
        <f t="shared" si="1"/>
        <v>0</v>
      </c>
      <c r="Q11" s="111"/>
      <c r="R11" s="109"/>
      <c r="S11" s="111"/>
      <c r="T11" s="109">
        <f t="shared" si="2"/>
        <v>0</v>
      </c>
      <c r="U11" s="110">
        <v>21</v>
      </c>
      <c r="V11" s="110">
        <f t="shared" si="3"/>
        <v>0</v>
      </c>
      <c r="W11" s="110">
        <f t="shared" si="4"/>
        <v>0</v>
      </c>
      <c r="X11" s="107"/>
      <c r="Y11" s="106" t="s">
        <v>21</v>
      </c>
      <c r="Z11" s="106" t="s">
        <v>8</v>
      </c>
    </row>
    <row r="12" spans="6:26" s="112" customFormat="1" ht="12" outlineLevel="2">
      <c r="F12" s="104">
        <v>6</v>
      </c>
      <c r="G12" s="105" t="s">
        <v>5</v>
      </c>
      <c r="H12" s="106" t="s">
        <v>33</v>
      </c>
      <c r="I12" s="106"/>
      <c r="J12" s="107" t="s">
        <v>73</v>
      </c>
      <c r="K12" s="105" t="s">
        <v>7</v>
      </c>
      <c r="L12" s="108">
        <f>(1.1*39*1.8+1*15*1+1.8*1.1*18+29*1.1*1.3+31*1.1*1.4+28*1.1*1.7+15*1.1*2)</f>
        <v>302.43</v>
      </c>
      <c r="M12" s="109">
        <v>0</v>
      </c>
      <c r="N12" s="108">
        <f t="shared" si="0"/>
        <v>302.43</v>
      </c>
      <c r="O12" s="113"/>
      <c r="P12" s="110">
        <f t="shared" si="1"/>
        <v>0</v>
      </c>
      <c r="Q12" s="111"/>
      <c r="R12" s="109"/>
      <c r="S12" s="111"/>
      <c r="T12" s="109">
        <f t="shared" si="2"/>
        <v>0</v>
      </c>
      <c r="U12" s="110">
        <v>21</v>
      </c>
      <c r="V12" s="110">
        <f t="shared" si="3"/>
        <v>0</v>
      </c>
      <c r="W12" s="110">
        <f t="shared" si="4"/>
        <v>0</v>
      </c>
      <c r="X12" s="107"/>
      <c r="Y12" s="106" t="s">
        <v>21</v>
      </c>
      <c r="Z12" s="106" t="s">
        <v>8</v>
      </c>
    </row>
    <row r="13" spans="6:26" s="112" customFormat="1" ht="12" outlineLevel="2">
      <c r="F13" s="104">
        <v>7</v>
      </c>
      <c r="G13" s="105" t="s">
        <v>5</v>
      </c>
      <c r="H13" s="106" t="s">
        <v>34</v>
      </c>
      <c r="I13" s="106"/>
      <c r="J13" s="107" t="s">
        <v>77</v>
      </c>
      <c r="K13" s="105" t="s">
        <v>7</v>
      </c>
      <c r="L13" s="108">
        <f>L12*0.5</f>
        <v>151.215</v>
      </c>
      <c r="M13" s="109">
        <v>0</v>
      </c>
      <c r="N13" s="108">
        <f t="shared" si="0"/>
        <v>151.215</v>
      </c>
      <c r="O13" s="113"/>
      <c r="P13" s="110">
        <f t="shared" si="1"/>
        <v>0</v>
      </c>
      <c r="Q13" s="111"/>
      <c r="R13" s="109"/>
      <c r="S13" s="111"/>
      <c r="T13" s="109">
        <f t="shared" si="2"/>
        <v>0</v>
      </c>
      <c r="U13" s="110">
        <v>21</v>
      </c>
      <c r="V13" s="110">
        <f t="shared" si="3"/>
        <v>0</v>
      </c>
      <c r="W13" s="110">
        <f t="shared" si="4"/>
        <v>0</v>
      </c>
      <c r="X13" s="107"/>
      <c r="Y13" s="106" t="s">
        <v>21</v>
      </c>
      <c r="Z13" s="106" t="s">
        <v>8</v>
      </c>
    </row>
    <row r="14" spans="6:26" s="112" customFormat="1" ht="12" outlineLevel="2">
      <c r="F14" s="104">
        <v>8</v>
      </c>
      <c r="G14" s="105" t="s">
        <v>5</v>
      </c>
      <c r="H14" s="106" t="s">
        <v>35</v>
      </c>
      <c r="I14" s="106"/>
      <c r="J14" s="107" t="s">
        <v>70</v>
      </c>
      <c r="K14" s="105" t="s">
        <v>6</v>
      </c>
      <c r="L14" s="108">
        <f>(2*39*1.8+2*15*1+1.8*2*18+29*2*1.3+31*2*1.4+28*2*1.7+15*2*2)</f>
        <v>552.6</v>
      </c>
      <c r="M14" s="109">
        <v>0</v>
      </c>
      <c r="N14" s="108">
        <f t="shared" si="0"/>
        <v>552.6</v>
      </c>
      <c r="O14" s="113"/>
      <c r="P14" s="110">
        <f t="shared" si="1"/>
        <v>0</v>
      </c>
      <c r="Q14" s="111">
        <v>0.00085</v>
      </c>
      <c r="R14" s="109"/>
      <c r="S14" s="111"/>
      <c r="T14" s="109">
        <f t="shared" si="2"/>
        <v>0</v>
      </c>
      <c r="U14" s="110">
        <v>21</v>
      </c>
      <c r="V14" s="110">
        <f t="shared" si="3"/>
        <v>0</v>
      </c>
      <c r="W14" s="110">
        <f t="shared" si="4"/>
        <v>0</v>
      </c>
      <c r="X14" s="107"/>
      <c r="Y14" s="106" t="s">
        <v>21</v>
      </c>
      <c r="Z14" s="106" t="s">
        <v>8</v>
      </c>
    </row>
    <row r="15" spans="6:26" s="112" customFormat="1" ht="12" outlineLevel="2">
      <c r="F15" s="104">
        <v>9</v>
      </c>
      <c r="G15" s="105" t="s">
        <v>5</v>
      </c>
      <c r="H15" s="106" t="s">
        <v>36</v>
      </c>
      <c r="I15" s="106"/>
      <c r="J15" s="107" t="s">
        <v>74</v>
      </c>
      <c r="K15" s="105" t="s">
        <v>6</v>
      </c>
      <c r="L15" s="108">
        <f>L14</f>
        <v>552.6</v>
      </c>
      <c r="M15" s="109">
        <v>0</v>
      </c>
      <c r="N15" s="108">
        <f t="shared" si="0"/>
        <v>552.6</v>
      </c>
      <c r="O15" s="113"/>
      <c r="P15" s="110">
        <f t="shared" si="1"/>
        <v>0</v>
      </c>
      <c r="Q15" s="111"/>
      <c r="R15" s="109"/>
      <c r="S15" s="111"/>
      <c r="T15" s="109">
        <f t="shared" si="2"/>
        <v>0</v>
      </c>
      <c r="U15" s="110">
        <v>21</v>
      </c>
      <c r="V15" s="110">
        <f t="shared" si="3"/>
        <v>0</v>
      </c>
      <c r="W15" s="110">
        <f t="shared" si="4"/>
        <v>0</v>
      </c>
      <c r="X15" s="107"/>
      <c r="Y15" s="106" t="s">
        <v>21</v>
      </c>
      <c r="Z15" s="106" t="s">
        <v>8</v>
      </c>
    </row>
    <row r="16" spans="6:26" s="112" customFormat="1" ht="12" outlineLevel="2">
      <c r="F16" s="104">
        <v>10</v>
      </c>
      <c r="G16" s="105" t="s">
        <v>5</v>
      </c>
      <c r="H16" s="106" t="s">
        <v>37</v>
      </c>
      <c r="I16" s="106"/>
      <c r="J16" s="107" t="s">
        <v>75</v>
      </c>
      <c r="K16" s="105" t="s">
        <v>7</v>
      </c>
      <c r="L16" s="108">
        <f>L12+L10</f>
        <v>342.43</v>
      </c>
      <c r="M16" s="109">
        <v>0</v>
      </c>
      <c r="N16" s="108">
        <f t="shared" si="0"/>
        <v>342.43</v>
      </c>
      <c r="O16" s="113"/>
      <c r="P16" s="110">
        <f t="shared" si="1"/>
        <v>0</v>
      </c>
      <c r="Q16" s="111"/>
      <c r="R16" s="109"/>
      <c r="S16" s="111"/>
      <c r="T16" s="109">
        <f t="shared" si="2"/>
        <v>0</v>
      </c>
      <c r="U16" s="110">
        <v>21</v>
      </c>
      <c r="V16" s="110">
        <f t="shared" si="3"/>
        <v>0</v>
      </c>
      <c r="W16" s="110">
        <f t="shared" si="4"/>
        <v>0</v>
      </c>
      <c r="X16" s="107"/>
      <c r="Y16" s="106" t="s">
        <v>21</v>
      </c>
      <c r="Z16" s="106" t="s">
        <v>8</v>
      </c>
    </row>
    <row r="17" spans="6:26" s="112" customFormat="1" ht="12" outlineLevel="2">
      <c r="F17" s="104">
        <v>11</v>
      </c>
      <c r="G17" s="105" t="s">
        <v>5</v>
      </c>
      <c r="H17" s="106" t="s">
        <v>38</v>
      </c>
      <c r="I17" s="106"/>
      <c r="J17" s="107" t="s">
        <v>79</v>
      </c>
      <c r="K17" s="105" t="s">
        <v>7</v>
      </c>
      <c r="L17" s="108">
        <f>L22+L10-(3.14*0.6*0.6*(1.8+1.3+1.8+1.1+1.9))</f>
        <v>201.86484000000002</v>
      </c>
      <c r="M17" s="109">
        <v>0</v>
      </c>
      <c r="N17" s="108">
        <f t="shared" si="0"/>
        <v>201.86484000000002</v>
      </c>
      <c r="O17" s="113"/>
      <c r="P17" s="110">
        <f t="shared" si="1"/>
        <v>0</v>
      </c>
      <c r="Q17" s="111"/>
      <c r="R17" s="109"/>
      <c r="S17" s="111"/>
      <c r="T17" s="109">
        <f t="shared" si="2"/>
        <v>0</v>
      </c>
      <c r="U17" s="110">
        <v>21</v>
      </c>
      <c r="V17" s="110">
        <f t="shared" si="3"/>
        <v>0</v>
      </c>
      <c r="W17" s="110">
        <f t="shared" si="4"/>
        <v>0</v>
      </c>
      <c r="X17" s="107"/>
      <c r="Y17" s="106" t="s">
        <v>21</v>
      </c>
      <c r="Z17" s="106" t="s">
        <v>8</v>
      </c>
    </row>
    <row r="18" spans="6:26" s="112" customFormat="1" ht="12" outlineLevel="2">
      <c r="F18" s="104">
        <v>12</v>
      </c>
      <c r="G18" s="105" t="s">
        <v>5</v>
      </c>
      <c r="H18" s="106" t="s">
        <v>39</v>
      </c>
      <c r="I18" s="106"/>
      <c r="J18" s="107" t="s">
        <v>81</v>
      </c>
      <c r="K18" s="105" t="s">
        <v>7</v>
      </c>
      <c r="L18" s="108">
        <f>(L12-L22)+(3.14*0.6*0.6*(1.8+1.3+1.8+1.1+1.9))</f>
        <v>140.56516</v>
      </c>
      <c r="M18" s="109">
        <v>0</v>
      </c>
      <c r="N18" s="108">
        <f t="shared" si="0"/>
        <v>140.56516</v>
      </c>
      <c r="O18" s="113"/>
      <c r="P18" s="110">
        <f t="shared" si="1"/>
        <v>0</v>
      </c>
      <c r="Q18" s="111"/>
      <c r="R18" s="109"/>
      <c r="S18" s="111"/>
      <c r="T18" s="109">
        <f t="shared" si="2"/>
        <v>0</v>
      </c>
      <c r="U18" s="110">
        <v>21</v>
      </c>
      <c r="V18" s="110">
        <f t="shared" si="3"/>
        <v>0</v>
      </c>
      <c r="W18" s="110">
        <f t="shared" si="4"/>
        <v>0</v>
      </c>
      <c r="X18" s="107"/>
      <c r="Y18" s="106" t="s">
        <v>21</v>
      </c>
      <c r="Z18" s="106" t="s">
        <v>8</v>
      </c>
    </row>
    <row r="19" spans="6:26" s="112" customFormat="1" ht="12" outlineLevel="2">
      <c r="F19" s="104">
        <v>13</v>
      </c>
      <c r="G19" s="105" t="s">
        <v>5</v>
      </c>
      <c r="H19" s="106" t="s">
        <v>40</v>
      </c>
      <c r="I19" s="106"/>
      <c r="J19" s="107" t="s">
        <v>69</v>
      </c>
      <c r="K19" s="105" t="s">
        <v>7</v>
      </c>
      <c r="L19" s="108">
        <f>L18</f>
        <v>140.56516</v>
      </c>
      <c r="M19" s="109">
        <v>0</v>
      </c>
      <c r="N19" s="108">
        <f t="shared" si="0"/>
        <v>140.56516</v>
      </c>
      <c r="O19" s="113"/>
      <c r="P19" s="110">
        <f t="shared" si="1"/>
        <v>0</v>
      </c>
      <c r="Q19" s="111"/>
      <c r="R19" s="109"/>
      <c r="S19" s="111"/>
      <c r="T19" s="109">
        <f t="shared" si="2"/>
        <v>0</v>
      </c>
      <c r="U19" s="110">
        <v>21</v>
      </c>
      <c r="V19" s="110">
        <f t="shared" si="3"/>
        <v>0</v>
      </c>
      <c r="W19" s="110">
        <f t="shared" si="4"/>
        <v>0</v>
      </c>
      <c r="X19" s="107"/>
      <c r="Y19" s="106" t="s">
        <v>21</v>
      </c>
      <c r="Z19" s="106" t="s">
        <v>8</v>
      </c>
    </row>
    <row r="20" spans="6:26" s="112" customFormat="1" ht="12" outlineLevel="2">
      <c r="F20" s="104">
        <v>14</v>
      </c>
      <c r="G20" s="105" t="s">
        <v>5</v>
      </c>
      <c r="H20" s="106" t="s">
        <v>41</v>
      </c>
      <c r="I20" s="106"/>
      <c r="J20" s="107" t="s">
        <v>64</v>
      </c>
      <c r="K20" s="105" t="s">
        <v>7</v>
      </c>
      <c r="L20" s="108">
        <f>L18</f>
        <v>140.56516</v>
      </c>
      <c r="M20" s="109">
        <v>0</v>
      </c>
      <c r="N20" s="108">
        <f t="shared" si="0"/>
        <v>140.56516</v>
      </c>
      <c r="O20" s="113"/>
      <c r="P20" s="110">
        <f t="shared" si="1"/>
        <v>0</v>
      </c>
      <c r="Q20" s="111"/>
      <c r="R20" s="109"/>
      <c r="S20" s="111"/>
      <c r="T20" s="109">
        <f t="shared" si="2"/>
        <v>0</v>
      </c>
      <c r="U20" s="110">
        <v>21</v>
      </c>
      <c r="V20" s="110">
        <f t="shared" si="3"/>
        <v>0</v>
      </c>
      <c r="W20" s="110">
        <f t="shared" si="4"/>
        <v>0</v>
      </c>
      <c r="X20" s="107"/>
      <c r="Y20" s="106" t="s">
        <v>21</v>
      </c>
      <c r="Z20" s="106" t="s">
        <v>8</v>
      </c>
    </row>
    <row r="21" spans="6:26" s="112" customFormat="1" ht="24" outlineLevel="2">
      <c r="F21" s="104">
        <v>15</v>
      </c>
      <c r="G21" s="105" t="s">
        <v>5</v>
      </c>
      <c r="H21" s="106" t="s">
        <v>42</v>
      </c>
      <c r="I21" s="106"/>
      <c r="J21" s="107" t="s">
        <v>80</v>
      </c>
      <c r="K21" s="105" t="s">
        <v>3</v>
      </c>
      <c r="L21" s="108">
        <f>1.8*L20</f>
        <v>253.01728799999998</v>
      </c>
      <c r="M21" s="109">
        <v>0</v>
      </c>
      <c r="N21" s="108">
        <f t="shared" si="0"/>
        <v>253.01728799999998</v>
      </c>
      <c r="O21" s="113"/>
      <c r="P21" s="110">
        <f t="shared" si="1"/>
        <v>0</v>
      </c>
      <c r="Q21" s="111"/>
      <c r="R21" s="109"/>
      <c r="S21" s="111"/>
      <c r="T21" s="109">
        <f t="shared" si="2"/>
        <v>0</v>
      </c>
      <c r="U21" s="110">
        <v>21</v>
      </c>
      <c r="V21" s="110">
        <f t="shared" si="3"/>
        <v>0</v>
      </c>
      <c r="W21" s="110">
        <f t="shared" si="4"/>
        <v>0</v>
      </c>
      <c r="X21" s="107"/>
      <c r="Y21" s="106" t="s">
        <v>21</v>
      </c>
      <c r="Z21" s="106" t="s">
        <v>8</v>
      </c>
    </row>
    <row r="22" spans="6:26" s="112" customFormat="1" ht="12" outlineLevel="2">
      <c r="F22" s="104">
        <v>16</v>
      </c>
      <c r="G22" s="105" t="s">
        <v>5</v>
      </c>
      <c r="H22" s="106" t="s">
        <v>43</v>
      </c>
      <c r="I22" s="106"/>
      <c r="J22" s="107" t="s">
        <v>76</v>
      </c>
      <c r="K22" s="105" t="s">
        <v>7</v>
      </c>
      <c r="L22" s="108">
        <f>L12-L23</f>
        <v>170.79500000000002</v>
      </c>
      <c r="M22" s="109">
        <v>0</v>
      </c>
      <c r="N22" s="108">
        <f t="shared" si="0"/>
        <v>170.79500000000002</v>
      </c>
      <c r="O22" s="113"/>
      <c r="P22" s="110">
        <f t="shared" si="1"/>
        <v>0</v>
      </c>
      <c r="Q22" s="111"/>
      <c r="R22" s="109"/>
      <c r="S22" s="111"/>
      <c r="T22" s="109">
        <f t="shared" si="2"/>
        <v>0</v>
      </c>
      <c r="U22" s="110">
        <v>21</v>
      </c>
      <c r="V22" s="110">
        <f t="shared" si="3"/>
        <v>0</v>
      </c>
      <c r="W22" s="110">
        <f t="shared" si="4"/>
        <v>0</v>
      </c>
      <c r="X22" s="107"/>
      <c r="Y22" s="106" t="s">
        <v>21</v>
      </c>
      <c r="Z22" s="106" t="s">
        <v>8</v>
      </c>
    </row>
    <row r="23" spans="6:26" s="112" customFormat="1" ht="24" outlineLevel="2">
      <c r="F23" s="104">
        <v>17</v>
      </c>
      <c r="G23" s="105" t="s">
        <v>5</v>
      </c>
      <c r="H23" s="106" t="s">
        <v>44</v>
      </c>
      <c r="I23" s="106"/>
      <c r="J23" s="107" t="s">
        <v>83</v>
      </c>
      <c r="K23" s="105" t="s">
        <v>7</v>
      </c>
      <c r="L23" s="108">
        <f>125*1.1*0.7+15*1*0.5+0.65*39*1.1</f>
        <v>131.635</v>
      </c>
      <c r="M23" s="109">
        <v>0</v>
      </c>
      <c r="N23" s="108">
        <f t="shared" si="0"/>
        <v>131.635</v>
      </c>
      <c r="O23" s="113"/>
      <c r="P23" s="110">
        <f t="shared" si="1"/>
        <v>0</v>
      </c>
      <c r="Q23" s="111"/>
      <c r="R23" s="109"/>
      <c r="S23" s="111"/>
      <c r="T23" s="109">
        <f t="shared" si="2"/>
        <v>0</v>
      </c>
      <c r="U23" s="110">
        <v>21</v>
      </c>
      <c r="V23" s="110">
        <f t="shared" si="3"/>
        <v>0</v>
      </c>
      <c r="W23" s="110">
        <f t="shared" si="4"/>
        <v>0</v>
      </c>
      <c r="X23" s="107"/>
      <c r="Y23" s="106" t="s">
        <v>21</v>
      </c>
      <c r="Z23" s="106" t="s">
        <v>8</v>
      </c>
    </row>
    <row r="24" spans="6:26" s="112" customFormat="1" ht="12" outlineLevel="2">
      <c r="F24" s="104">
        <v>18</v>
      </c>
      <c r="G24" s="105" t="s">
        <v>5</v>
      </c>
      <c r="H24" s="106" t="s">
        <v>45</v>
      </c>
      <c r="I24" s="106"/>
      <c r="J24" s="107" t="s">
        <v>71</v>
      </c>
      <c r="K24" s="105" t="s">
        <v>6</v>
      </c>
      <c r="L24" s="108">
        <f>1*15+1.1*(121+39)</f>
        <v>191</v>
      </c>
      <c r="M24" s="109">
        <v>0</v>
      </c>
      <c r="N24" s="108">
        <f t="shared" si="0"/>
        <v>191</v>
      </c>
      <c r="O24" s="113"/>
      <c r="P24" s="110">
        <f t="shared" si="1"/>
        <v>0</v>
      </c>
      <c r="Q24" s="111"/>
      <c r="R24" s="109"/>
      <c r="S24" s="111"/>
      <c r="T24" s="109">
        <f t="shared" si="2"/>
        <v>0</v>
      </c>
      <c r="U24" s="110">
        <v>21</v>
      </c>
      <c r="V24" s="110">
        <f t="shared" si="3"/>
        <v>0</v>
      </c>
      <c r="W24" s="110">
        <f t="shared" si="4"/>
        <v>0</v>
      </c>
      <c r="X24" s="107"/>
      <c r="Y24" s="106" t="s">
        <v>21</v>
      </c>
      <c r="Z24" s="106" t="s">
        <v>8</v>
      </c>
    </row>
    <row r="25" spans="6:26" s="112" customFormat="1" ht="24" outlineLevel="2">
      <c r="F25" s="104">
        <v>19</v>
      </c>
      <c r="G25" s="105" t="s">
        <v>5</v>
      </c>
      <c r="H25" s="106" t="s">
        <v>92</v>
      </c>
      <c r="I25" s="106"/>
      <c r="J25" s="107" t="s">
        <v>93</v>
      </c>
      <c r="K25" s="105" t="s">
        <v>6</v>
      </c>
      <c r="L25" s="108">
        <f>1.5*75</f>
        <v>112.5</v>
      </c>
      <c r="M25" s="109">
        <v>0</v>
      </c>
      <c r="N25" s="108">
        <f t="shared" si="0"/>
        <v>112.5</v>
      </c>
      <c r="O25" s="113"/>
      <c r="P25" s="110">
        <f>N25*O25</f>
        <v>0</v>
      </c>
      <c r="Q25" s="111"/>
      <c r="R25" s="109"/>
      <c r="S25" s="111"/>
      <c r="T25" s="109"/>
      <c r="U25" s="110"/>
      <c r="V25" s="110"/>
      <c r="W25" s="110"/>
      <c r="X25" s="107"/>
      <c r="Y25" s="106"/>
      <c r="Z25" s="106"/>
    </row>
    <row r="26" spans="6:26" s="112" customFormat="1" ht="24" outlineLevel="2">
      <c r="F26" s="104">
        <v>20</v>
      </c>
      <c r="G26" s="105" t="s">
        <v>5</v>
      </c>
      <c r="H26" s="106" t="s">
        <v>95</v>
      </c>
      <c r="I26" s="106"/>
      <c r="J26" s="107" t="s">
        <v>94</v>
      </c>
      <c r="K26" s="105" t="s">
        <v>6</v>
      </c>
      <c r="L26" s="108">
        <f>L25</f>
        <v>112.5</v>
      </c>
      <c r="M26" s="109">
        <v>0</v>
      </c>
      <c r="N26" s="108">
        <f t="shared" si="0"/>
        <v>112.5</v>
      </c>
      <c r="O26" s="113"/>
      <c r="P26" s="110">
        <f>N26*O26</f>
        <v>0</v>
      </c>
      <c r="Q26" s="111"/>
      <c r="R26" s="109"/>
      <c r="S26" s="111"/>
      <c r="T26" s="109"/>
      <c r="U26" s="110"/>
      <c r="V26" s="110"/>
      <c r="W26" s="110"/>
      <c r="X26" s="107"/>
      <c r="Y26" s="106"/>
      <c r="Z26" s="106"/>
    </row>
    <row r="27" spans="6:26" s="112" customFormat="1" ht="12" outlineLevel="2">
      <c r="F27" s="104">
        <v>21</v>
      </c>
      <c r="G27" s="105" t="s">
        <v>0</v>
      </c>
      <c r="H27" s="106" t="s">
        <v>28</v>
      </c>
      <c r="I27" s="106"/>
      <c r="J27" s="107" t="s">
        <v>65</v>
      </c>
      <c r="K27" s="105" t="s">
        <v>3</v>
      </c>
      <c r="L27" s="108">
        <f>L23*1.9</f>
        <v>250.10649999999998</v>
      </c>
      <c r="M27" s="109">
        <v>0</v>
      </c>
      <c r="N27" s="108">
        <f t="shared" si="0"/>
        <v>250.10649999999998</v>
      </c>
      <c r="O27" s="113"/>
      <c r="P27" s="110">
        <f t="shared" si="1"/>
        <v>0</v>
      </c>
      <c r="Q27" s="111">
        <v>1</v>
      </c>
      <c r="R27" s="109"/>
      <c r="S27" s="111"/>
      <c r="T27" s="109">
        <f t="shared" si="2"/>
        <v>0</v>
      </c>
      <c r="U27" s="110">
        <v>21</v>
      </c>
      <c r="V27" s="110">
        <f t="shared" si="3"/>
        <v>0</v>
      </c>
      <c r="W27" s="110">
        <f t="shared" si="4"/>
        <v>0</v>
      </c>
      <c r="X27" s="107"/>
      <c r="Y27" s="106" t="s">
        <v>21</v>
      </c>
      <c r="Z27" s="106" t="s">
        <v>8</v>
      </c>
    </row>
    <row r="28" spans="6:26" s="123" customFormat="1" ht="12.75" customHeight="1" outlineLevel="2">
      <c r="F28" s="115"/>
      <c r="G28" s="116"/>
      <c r="H28" s="116"/>
      <c r="I28" s="116"/>
      <c r="J28" s="117"/>
      <c r="K28" s="116"/>
      <c r="L28" s="118"/>
      <c r="M28" s="119"/>
      <c r="N28" s="118"/>
      <c r="O28" s="119"/>
      <c r="P28" s="120"/>
      <c r="Q28" s="121"/>
      <c r="R28" s="119"/>
      <c r="S28" s="119"/>
      <c r="T28" s="119"/>
      <c r="U28" s="122" t="s">
        <v>1</v>
      </c>
      <c r="V28" s="119"/>
      <c r="W28" s="119"/>
      <c r="X28" s="119"/>
      <c r="Y28" s="116"/>
      <c r="Z28" s="116"/>
    </row>
    <row r="29" spans="6:26" s="103" customFormat="1" ht="16.5" customHeight="1" outlineLevel="1">
      <c r="F29" s="95"/>
      <c r="G29" s="80"/>
      <c r="H29" s="96"/>
      <c r="I29" s="96"/>
      <c r="J29" s="96" t="s">
        <v>67</v>
      </c>
      <c r="K29" s="80"/>
      <c r="L29" s="97"/>
      <c r="M29" s="98"/>
      <c r="N29" s="97"/>
      <c r="O29" s="98"/>
      <c r="P29" s="99">
        <f>SUBTOTAL(9,P30:P34)</f>
        <v>0</v>
      </c>
      <c r="Q29" s="100"/>
      <c r="R29" s="101"/>
      <c r="S29" s="98"/>
      <c r="T29" s="101">
        <f>SUBTOTAL(9,T30:T35)</f>
        <v>0</v>
      </c>
      <c r="U29" s="102" t="s">
        <v>1</v>
      </c>
      <c r="V29" s="99">
        <f>SUBTOTAL(9,V30:V35)</f>
        <v>0</v>
      </c>
      <c r="W29" s="99">
        <f>SUBTOTAL(9,W30:W35)</f>
        <v>0</v>
      </c>
      <c r="Y29" s="81"/>
      <c r="Z29" s="81"/>
    </row>
    <row r="30" spans="6:26" s="112" customFormat="1" ht="12" outlineLevel="2">
      <c r="F30" s="104">
        <v>22</v>
      </c>
      <c r="G30" s="105" t="s">
        <v>5</v>
      </c>
      <c r="H30" s="106" t="s">
        <v>39</v>
      </c>
      <c r="I30" s="106"/>
      <c r="J30" s="107" t="s">
        <v>81</v>
      </c>
      <c r="K30" s="105" t="s">
        <v>7</v>
      </c>
      <c r="L30" s="108">
        <f>0.5*(L10+L12)</f>
        <v>171.215</v>
      </c>
      <c r="M30" s="109">
        <v>0</v>
      </c>
      <c r="N30" s="108">
        <f>L30*(1+M30/100)</f>
        <v>171.215</v>
      </c>
      <c r="O30" s="113"/>
      <c r="P30" s="110">
        <f>N30*O30</f>
        <v>0</v>
      </c>
      <c r="Q30" s="111"/>
      <c r="R30" s="109"/>
      <c r="S30" s="111"/>
      <c r="T30" s="109">
        <f>N30*S30</f>
        <v>0</v>
      </c>
      <c r="U30" s="110"/>
      <c r="V30" s="110">
        <f>P30*(U30/100)</f>
        <v>0</v>
      </c>
      <c r="W30" s="110">
        <f>P30+V30</f>
        <v>0</v>
      </c>
      <c r="X30" s="107"/>
      <c r="Y30" s="106" t="s">
        <v>21</v>
      </c>
      <c r="Z30" s="106" t="s">
        <v>17</v>
      </c>
    </row>
    <row r="31" spans="6:26" s="112" customFormat="1" ht="12" outlineLevel="2">
      <c r="F31" s="104">
        <v>23</v>
      </c>
      <c r="G31" s="105" t="s">
        <v>5</v>
      </c>
      <c r="H31" s="106" t="s">
        <v>40</v>
      </c>
      <c r="I31" s="106"/>
      <c r="J31" s="107" t="s">
        <v>69</v>
      </c>
      <c r="K31" s="105" t="s">
        <v>7</v>
      </c>
      <c r="L31" s="108">
        <f>L30</f>
        <v>171.215</v>
      </c>
      <c r="M31" s="109">
        <v>0</v>
      </c>
      <c r="N31" s="108">
        <f>L31*(1+M31/100)</f>
        <v>171.215</v>
      </c>
      <c r="O31" s="113"/>
      <c r="P31" s="110">
        <f>N31*O31</f>
        <v>0</v>
      </c>
      <c r="Q31" s="111"/>
      <c r="R31" s="109"/>
      <c r="S31" s="111"/>
      <c r="T31" s="109">
        <f>N31*S31</f>
        <v>0</v>
      </c>
      <c r="U31" s="110">
        <v>21</v>
      </c>
      <c r="V31" s="110">
        <f>P31*(U31/100)</f>
        <v>0</v>
      </c>
      <c r="W31" s="110">
        <f>P31+V31</f>
        <v>0</v>
      </c>
      <c r="X31" s="107"/>
      <c r="Y31" s="106" t="s">
        <v>21</v>
      </c>
      <c r="Z31" s="106" t="s">
        <v>17</v>
      </c>
    </row>
    <row r="32" spans="6:26" s="112" customFormat="1" ht="12" outlineLevel="2">
      <c r="F32" s="104">
        <v>24</v>
      </c>
      <c r="G32" s="105" t="s">
        <v>5</v>
      </c>
      <c r="H32" s="106" t="s">
        <v>41</v>
      </c>
      <c r="I32" s="106"/>
      <c r="J32" s="107" t="s">
        <v>64</v>
      </c>
      <c r="K32" s="105" t="s">
        <v>7</v>
      </c>
      <c r="L32" s="108">
        <f>L30</f>
        <v>171.215</v>
      </c>
      <c r="M32" s="109">
        <v>0</v>
      </c>
      <c r="N32" s="108">
        <f>L32*(1+M32/100)</f>
        <v>171.215</v>
      </c>
      <c r="O32" s="113"/>
      <c r="P32" s="110">
        <f>N32*O32</f>
        <v>0</v>
      </c>
      <c r="Q32" s="111"/>
      <c r="R32" s="109"/>
      <c r="S32" s="111"/>
      <c r="T32" s="109">
        <f>N32*S32</f>
        <v>0</v>
      </c>
      <c r="U32" s="110">
        <v>21</v>
      </c>
      <c r="V32" s="110">
        <f>P32*(U32/100)</f>
        <v>0</v>
      </c>
      <c r="W32" s="110">
        <f>P32+V32</f>
        <v>0</v>
      </c>
      <c r="X32" s="107"/>
      <c r="Y32" s="106" t="s">
        <v>21</v>
      </c>
      <c r="Z32" s="106" t="s">
        <v>17</v>
      </c>
    </row>
    <row r="33" spans="6:26" s="112" customFormat="1" ht="24" outlineLevel="2">
      <c r="F33" s="104">
        <v>25</v>
      </c>
      <c r="G33" s="105" t="s">
        <v>5</v>
      </c>
      <c r="H33" s="106" t="s">
        <v>42</v>
      </c>
      <c r="I33" s="106"/>
      <c r="J33" s="107" t="s">
        <v>80</v>
      </c>
      <c r="K33" s="105" t="s">
        <v>3</v>
      </c>
      <c r="L33" s="108">
        <f>1.8*L30</f>
        <v>308.187</v>
      </c>
      <c r="M33" s="109">
        <v>0</v>
      </c>
      <c r="N33" s="108">
        <f>L33*(1+M33/100)</f>
        <v>308.187</v>
      </c>
      <c r="O33" s="113"/>
      <c r="P33" s="110">
        <f>N33*O33</f>
        <v>0</v>
      </c>
      <c r="Q33" s="111"/>
      <c r="R33" s="109"/>
      <c r="S33" s="111"/>
      <c r="T33" s="109">
        <f>N33*S33</f>
        <v>0</v>
      </c>
      <c r="U33" s="110">
        <v>21</v>
      </c>
      <c r="V33" s="110">
        <f>P33*(U33/100)</f>
        <v>0</v>
      </c>
      <c r="W33" s="110">
        <f>P33+V33</f>
        <v>0</v>
      </c>
      <c r="X33" s="107"/>
      <c r="Y33" s="106" t="s">
        <v>21</v>
      </c>
      <c r="Z33" s="106" t="s">
        <v>17</v>
      </c>
    </row>
    <row r="34" spans="6:26" s="112" customFormat="1" ht="12" outlineLevel="2">
      <c r="F34" s="104">
        <v>26</v>
      </c>
      <c r="G34" s="105" t="s">
        <v>0</v>
      </c>
      <c r="H34" s="106" t="s">
        <v>27</v>
      </c>
      <c r="I34" s="106"/>
      <c r="J34" s="107" t="s">
        <v>66</v>
      </c>
      <c r="K34" s="105" t="s">
        <v>3</v>
      </c>
      <c r="L34" s="108">
        <f>L30*1.8</f>
        <v>308.187</v>
      </c>
      <c r="M34" s="109">
        <v>0</v>
      </c>
      <c r="N34" s="108">
        <f>L34*(1+M34/100)</f>
        <v>308.187</v>
      </c>
      <c r="O34" s="113"/>
      <c r="P34" s="110">
        <f>N34*O34</f>
        <v>0</v>
      </c>
      <c r="Q34" s="111">
        <v>1</v>
      </c>
      <c r="R34" s="109"/>
      <c r="S34" s="111"/>
      <c r="T34" s="109">
        <f>N34*S34</f>
        <v>0</v>
      </c>
      <c r="U34" s="110"/>
      <c r="V34" s="110">
        <f>P34*(U34/100)</f>
        <v>0</v>
      </c>
      <c r="W34" s="110">
        <f>P34+V34</f>
        <v>0</v>
      </c>
      <c r="X34" s="107"/>
      <c r="Y34" s="106" t="s">
        <v>21</v>
      </c>
      <c r="Z34" s="106" t="s">
        <v>17</v>
      </c>
    </row>
    <row r="35" spans="6:26" s="123" customFormat="1" ht="12.75" customHeight="1" outlineLevel="2">
      <c r="F35" s="115"/>
      <c r="G35" s="116"/>
      <c r="H35" s="116"/>
      <c r="I35" s="116"/>
      <c r="J35" s="117"/>
      <c r="K35" s="116"/>
      <c r="L35" s="118"/>
      <c r="M35" s="119"/>
      <c r="N35" s="118"/>
      <c r="O35" s="119"/>
      <c r="P35" s="120"/>
      <c r="Q35" s="121"/>
      <c r="R35" s="119"/>
      <c r="S35" s="119"/>
      <c r="T35" s="119"/>
      <c r="U35" s="122" t="s">
        <v>1</v>
      </c>
      <c r="V35" s="119"/>
      <c r="W35" s="119"/>
      <c r="X35" s="119"/>
      <c r="Y35" s="116"/>
      <c r="Z35" s="116"/>
    </row>
    <row r="36" spans="6:26" s="103" customFormat="1" ht="16.5" customHeight="1" outlineLevel="1">
      <c r="F36" s="95"/>
      <c r="G36" s="80"/>
      <c r="H36" s="96"/>
      <c r="I36" s="96"/>
      <c r="J36" s="96" t="s">
        <v>54</v>
      </c>
      <c r="K36" s="80"/>
      <c r="L36" s="97"/>
      <c r="M36" s="98"/>
      <c r="N36" s="97"/>
      <c r="O36" s="98"/>
      <c r="P36" s="99">
        <f>SUBTOTAL(9,P37:P38)</f>
        <v>0</v>
      </c>
      <c r="Q36" s="100"/>
      <c r="R36" s="101"/>
      <c r="S36" s="98"/>
      <c r="T36" s="101">
        <f>SUBTOTAL(9,T37:T38)</f>
        <v>0</v>
      </c>
      <c r="U36" s="102" t="s">
        <v>1</v>
      </c>
      <c r="V36" s="99">
        <f>SUBTOTAL(9,V37:V38)</f>
        <v>0</v>
      </c>
      <c r="W36" s="99">
        <f>SUBTOTAL(9,W37:W38)</f>
        <v>0</v>
      </c>
      <c r="Y36" s="81"/>
      <c r="Z36" s="81"/>
    </row>
    <row r="37" spans="6:26" s="112" customFormat="1" ht="24" outlineLevel="2">
      <c r="F37" s="104">
        <v>27</v>
      </c>
      <c r="G37" s="105" t="s">
        <v>5</v>
      </c>
      <c r="H37" s="106" t="s">
        <v>46</v>
      </c>
      <c r="I37" s="106"/>
      <c r="J37" s="107" t="s">
        <v>84</v>
      </c>
      <c r="K37" s="105" t="s">
        <v>2</v>
      </c>
      <c r="L37" s="108">
        <v>70</v>
      </c>
      <c r="M37" s="109">
        <v>0</v>
      </c>
      <c r="N37" s="108">
        <f>L37*(1+M37/100)</f>
        <v>70</v>
      </c>
      <c r="O37" s="113"/>
      <c r="P37" s="110">
        <f>N37*O37</f>
        <v>0</v>
      </c>
      <c r="Q37" s="111">
        <v>0.22657</v>
      </c>
      <c r="R37" s="109"/>
      <c r="S37" s="111"/>
      <c r="T37" s="109">
        <f>N37*S37</f>
        <v>0</v>
      </c>
      <c r="U37" s="110"/>
      <c r="V37" s="110">
        <f>P37*(U37/100)</f>
        <v>0</v>
      </c>
      <c r="W37" s="110">
        <f>P37+V37</f>
        <v>0</v>
      </c>
      <c r="X37" s="107"/>
      <c r="Y37" s="106" t="s">
        <v>21</v>
      </c>
      <c r="Z37" s="106" t="s">
        <v>9</v>
      </c>
    </row>
    <row r="38" spans="6:26" s="123" customFormat="1" ht="12.75" customHeight="1" outlineLevel="2">
      <c r="F38" s="115"/>
      <c r="G38" s="116"/>
      <c r="H38" s="116"/>
      <c r="I38" s="116"/>
      <c r="J38" s="117"/>
      <c r="K38" s="116"/>
      <c r="L38" s="118"/>
      <c r="M38" s="119"/>
      <c r="N38" s="118"/>
      <c r="O38" s="119"/>
      <c r="P38" s="120"/>
      <c r="Q38" s="121"/>
      <c r="R38" s="119"/>
      <c r="S38" s="119"/>
      <c r="T38" s="119"/>
      <c r="U38" s="122" t="s">
        <v>1</v>
      </c>
      <c r="V38" s="119"/>
      <c r="W38" s="119"/>
      <c r="X38" s="119"/>
      <c r="Y38" s="116"/>
      <c r="Z38" s="116"/>
    </row>
    <row r="39" spans="6:26" s="103" customFormat="1" ht="16.5" customHeight="1" outlineLevel="1">
      <c r="F39" s="95"/>
      <c r="G39" s="80"/>
      <c r="H39" s="96"/>
      <c r="I39" s="96"/>
      <c r="J39" s="96" t="s">
        <v>60</v>
      </c>
      <c r="K39" s="80"/>
      <c r="L39" s="97"/>
      <c r="M39" s="98"/>
      <c r="N39" s="97"/>
      <c r="O39" s="98"/>
      <c r="P39" s="99">
        <f>SUBTOTAL(9,P40:P42)</f>
        <v>0</v>
      </c>
      <c r="Q39" s="100"/>
      <c r="R39" s="101"/>
      <c r="S39" s="98"/>
      <c r="T39" s="101">
        <f>SUBTOTAL(9,T40:T41)</f>
        <v>0</v>
      </c>
      <c r="U39" s="102" t="s">
        <v>1</v>
      </c>
      <c r="V39" s="99">
        <f>SUBTOTAL(9,V40:V41)</f>
        <v>0</v>
      </c>
      <c r="W39" s="99">
        <f>SUBTOTAL(9,W40:W41)</f>
        <v>0</v>
      </c>
      <c r="Y39" s="81"/>
      <c r="Z39" s="81"/>
    </row>
    <row r="40" spans="6:26" s="112" customFormat="1" ht="12" outlineLevel="2">
      <c r="F40" s="104">
        <v>28</v>
      </c>
      <c r="G40" s="105" t="s">
        <v>5</v>
      </c>
      <c r="H40" s="106" t="s">
        <v>47</v>
      </c>
      <c r="I40" s="106"/>
      <c r="J40" s="107" t="s">
        <v>68</v>
      </c>
      <c r="K40" s="105" t="s">
        <v>7</v>
      </c>
      <c r="L40" s="108">
        <f>0.1*1*15+0.1*1.1*(121+39)</f>
        <v>19.1</v>
      </c>
      <c r="M40" s="109">
        <v>0</v>
      </c>
      <c r="N40" s="108">
        <f>L40*(1+M40/100)</f>
        <v>19.1</v>
      </c>
      <c r="O40" s="113"/>
      <c r="P40" s="110">
        <f>N40*O40</f>
        <v>0</v>
      </c>
      <c r="Q40" s="111">
        <v>1.89077</v>
      </c>
      <c r="R40" s="109"/>
      <c r="S40" s="111"/>
      <c r="T40" s="109">
        <f>N40*S40</f>
        <v>0</v>
      </c>
      <c r="U40" s="110">
        <v>21</v>
      </c>
      <c r="V40" s="110">
        <f>P40*(U40/100)</f>
        <v>0</v>
      </c>
      <c r="W40" s="110">
        <f>P40+V40</f>
        <v>0</v>
      </c>
      <c r="X40" s="107"/>
      <c r="Y40" s="106" t="s">
        <v>21</v>
      </c>
      <c r="Z40" s="106" t="s">
        <v>10</v>
      </c>
    </row>
    <row r="41" spans="6:26" s="112" customFormat="1" ht="12" outlineLevel="2">
      <c r="F41" s="104">
        <v>29</v>
      </c>
      <c r="G41" s="105" t="s">
        <v>5</v>
      </c>
      <c r="H41" s="106" t="s">
        <v>24</v>
      </c>
      <c r="I41" s="106"/>
      <c r="J41" s="107" t="s">
        <v>96</v>
      </c>
      <c r="K41" s="105" t="s">
        <v>2</v>
      </c>
      <c r="L41" s="108">
        <f>138.5+39</f>
        <v>177.5</v>
      </c>
      <c r="M41" s="109">
        <v>0</v>
      </c>
      <c r="N41" s="108">
        <f>L41*(1+M41/100)</f>
        <v>177.5</v>
      </c>
      <c r="O41" s="113"/>
      <c r="P41" s="110">
        <f>N41*O41</f>
        <v>0</v>
      </c>
      <c r="Q41" s="111"/>
      <c r="R41" s="109"/>
      <c r="S41" s="111"/>
      <c r="T41" s="109">
        <f>N41*S41</f>
        <v>0</v>
      </c>
      <c r="U41" s="110">
        <v>21</v>
      </c>
      <c r="V41" s="110">
        <f>P41*(U41/100)</f>
        <v>0</v>
      </c>
      <c r="W41" s="110">
        <f>P41+V41</f>
        <v>0</v>
      </c>
      <c r="X41" s="107"/>
      <c r="Y41" s="106" t="s">
        <v>21</v>
      </c>
      <c r="Z41" s="106" t="s">
        <v>10</v>
      </c>
    </row>
    <row r="42" spans="6:26" s="112" customFormat="1" ht="12" outlineLevel="2">
      <c r="F42" s="104"/>
      <c r="G42" s="105"/>
      <c r="H42" s="106"/>
      <c r="I42" s="106"/>
      <c r="J42" s="107" t="s">
        <v>146</v>
      </c>
      <c r="K42" s="105" t="s">
        <v>2</v>
      </c>
      <c r="L42" s="108">
        <v>15</v>
      </c>
      <c r="M42" s="109"/>
      <c r="N42" s="108">
        <v>15</v>
      </c>
      <c r="O42" s="113"/>
      <c r="P42" s="110">
        <f>N42*O42</f>
        <v>0</v>
      </c>
      <c r="Q42" s="111"/>
      <c r="R42" s="109"/>
      <c r="S42" s="111"/>
      <c r="T42" s="109"/>
      <c r="U42" s="110"/>
      <c r="V42" s="110"/>
      <c r="W42" s="110"/>
      <c r="X42" s="107"/>
      <c r="Y42" s="106"/>
      <c r="Z42" s="106"/>
    </row>
    <row r="43" spans="6:26" s="103" customFormat="1" ht="16.5" customHeight="1" outlineLevel="1">
      <c r="F43" s="95"/>
      <c r="G43" s="80"/>
      <c r="H43" s="96"/>
      <c r="I43" s="96"/>
      <c r="J43" s="96" t="s">
        <v>59</v>
      </c>
      <c r="K43" s="80"/>
      <c r="L43" s="97"/>
      <c r="M43" s="98"/>
      <c r="N43" s="97"/>
      <c r="O43" s="98"/>
      <c r="P43" s="99">
        <f>SUBTOTAL(9,P44:P57)</f>
        <v>0</v>
      </c>
      <c r="Q43" s="100"/>
      <c r="R43" s="101"/>
      <c r="S43" s="98"/>
      <c r="T43" s="101">
        <f>SUBTOTAL(9,T44:T56)</f>
        <v>0</v>
      </c>
      <c r="U43" s="102" t="s">
        <v>1</v>
      </c>
      <c r="V43" s="99">
        <f>SUBTOTAL(9,V44:V56)</f>
        <v>0</v>
      </c>
      <c r="W43" s="99">
        <f>SUBTOTAL(9,W44:W56)</f>
        <v>0</v>
      </c>
      <c r="Y43" s="81"/>
      <c r="Z43" s="81"/>
    </row>
    <row r="44" spans="6:26" s="112" customFormat="1" ht="12" outlineLevel="2">
      <c r="F44" s="104">
        <v>30</v>
      </c>
      <c r="G44" s="105" t="s">
        <v>5</v>
      </c>
      <c r="H44" s="106" t="s">
        <v>147</v>
      </c>
      <c r="I44" s="106"/>
      <c r="J44" s="107" t="s">
        <v>148</v>
      </c>
      <c r="K44" s="105" t="s">
        <v>15</v>
      </c>
      <c r="L44" s="108">
        <v>6</v>
      </c>
      <c r="M44" s="109">
        <v>0</v>
      </c>
      <c r="N44" s="108">
        <f>L44*(1+M44/100)</f>
        <v>6</v>
      </c>
      <c r="O44" s="113"/>
      <c r="P44" s="110">
        <f aca="true" t="shared" si="5" ref="P44:P57">N44*O44</f>
        <v>0</v>
      </c>
      <c r="Q44" s="111">
        <v>0.00011</v>
      </c>
      <c r="R44" s="109"/>
      <c r="S44" s="111"/>
      <c r="T44" s="109">
        <f>N44*S44</f>
        <v>0</v>
      </c>
      <c r="U44" s="110">
        <v>21</v>
      </c>
      <c r="V44" s="110">
        <f>P44*(U44/100)</f>
        <v>0</v>
      </c>
      <c r="W44" s="110">
        <f>P44+V44</f>
        <v>0</v>
      </c>
      <c r="X44" s="107"/>
      <c r="Y44" s="106" t="s">
        <v>21</v>
      </c>
      <c r="Z44" s="106" t="s">
        <v>149</v>
      </c>
    </row>
    <row r="45" spans="6:26" s="112" customFormat="1" ht="24" outlineLevel="2">
      <c r="F45" s="104">
        <v>31</v>
      </c>
      <c r="G45" s="105" t="s">
        <v>5</v>
      </c>
      <c r="H45" s="106" t="s">
        <v>150</v>
      </c>
      <c r="I45" s="106"/>
      <c r="J45" s="107" t="s">
        <v>151</v>
      </c>
      <c r="K45" s="105" t="s">
        <v>2</v>
      </c>
      <c r="L45" s="108">
        <v>15</v>
      </c>
      <c r="M45" s="109">
        <v>0</v>
      </c>
      <c r="N45" s="108">
        <f>L45*(1+M45/100)</f>
        <v>15</v>
      </c>
      <c r="O45" s="113"/>
      <c r="P45" s="110">
        <f t="shared" si="5"/>
        <v>0</v>
      </c>
      <c r="Q45" s="111">
        <v>0.00017</v>
      </c>
      <c r="R45" s="109"/>
      <c r="S45" s="111"/>
      <c r="T45" s="109">
        <f>N45*S45</f>
        <v>0</v>
      </c>
      <c r="U45" s="110">
        <v>21</v>
      </c>
      <c r="V45" s="110">
        <f>P45*(U45/100)</f>
        <v>0</v>
      </c>
      <c r="W45" s="110">
        <f>P45+V45</f>
        <v>0</v>
      </c>
      <c r="X45" s="107"/>
      <c r="Y45" s="106" t="s">
        <v>21</v>
      </c>
      <c r="Z45" s="106" t="s">
        <v>149</v>
      </c>
    </row>
    <row r="46" spans="6:26" s="112" customFormat="1" ht="12" outlineLevel="2">
      <c r="F46" s="104">
        <v>32</v>
      </c>
      <c r="G46" s="105" t="s">
        <v>5</v>
      </c>
      <c r="H46" s="106"/>
      <c r="I46" s="106"/>
      <c r="J46" s="107" t="s">
        <v>152</v>
      </c>
      <c r="K46" s="105" t="s">
        <v>2</v>
      </c>
      <c r="L46" s="108">
        <v>121</v>
      </c>
      <c r="M46" s="109">
        <v>0</v>
      </c>
      <c r="N46" s="108">
        <f aca="true" t="shared" si="6" ref="N46:N54">L46*(1+M46/100)</f>
        <v>121</v>
      </c>
      <c r="O46" s="113"/>
      <c r="P46" s="110">
        <f t="shared" si="5"/>
        <v>0</v>
      </c>
      <c r="Q46" s="111"/>
      <c r="R46" s="109"/>
      <c r="S46" s="111"/>
      <c r="T46" s="109"/>
      <c r="U46" s="110"/>
      <c r="V46" s="110"/>
      <c r="W46" s="110"/>
      <c r="X46" s="107"/>
      <c r="Y46" s="106"/>
      <c r="Z46" s="106"/>
    </row>
    <row r="47" spans="6:26" s="112" customFormat="1" ht="12" outlineLevel="2">
      <c r="F47" s="104">
        <v>33</v>
      </c>
      <c r="G47" s="105" t="s">
        <v>5</v>
      </c>
      <c r="H47" s="106"/>
      <c r="I47" s="106"/>
      <c r="J47" s="107" t="s">
        <v>153</v>
      </c>
      <c r="K47" s="105" t="s">
        <v>2</v>
      </c>
      <c r="L47" s="108">
        <v>39</v>
      </c>
      <c r="M47" s="109">
        <v>0</v>
      </c>
      <c r="N47" s="108">
        <f t="shared" si="6"/>
        <v>39</v>
      </c>
      <c r="O47" s="113"/>
      <c r="P47" s="110">
        <f t="shared" si="5"/>
        <v>0</v>
      </c>
      <c r="Q47" s="111"/>
      <c r="R47" s="109"/>
      <c r="S47" s="111"/>
      <c r="T47" s="109"/>
      <c r="U47" s="110"/>
      <c r="V47" s="110"/>
      <c r="W47" s="110"/>
      <c r="X47" s="107"/>
      <c r="Y47" s="106"/>
      <c r="Z47" s="106"/>
    </row>
    <row r="48" spans="6:26" s="112" customFormat="1" ht="12" outlineLevel="2">
      <c r="F48" s="104">
        <v>34</v>
      </c>
      <c r="G48" s="105"/>
      <c r="H48" s="106" t="s">
        <v>154</v>
      </c>
      <c r="I48" s="106"/>
      <c r="J48" s="107" t="s">
        <v>155</v>
      </c>
      <c r="K48" s="105" t="s">
        <v>2</v>
      </c>
      <c r="L48" s="108">
        <v>15</v>
      </c>
      <c r="M48" s="109">
        <v>0</v>
      </c>
      <c r="N48" s="108">
        <f t="shared" si="6"/>
        <v>15</v>
      </c>
      <c r="O48" s="113"/>
      <c r="P48" s="110">
        <f t="shared" si="5"/>
        <v>0</v>
      </c>
      <c r="Q48" s="111"/>
      <c r="R48" s="109"/>
      <c r="S48" s="111"/>
      <c r="T48" s="109"/>
      <c r="U48" s="110"/>
      <c r="V48" s="110"/>
      <c r="W48" s="110"/>
      <c r="X48" s="107"/>
      <c r="Y48" s="106"/>
      <c r="Z48" s="106"/>
    </row>
    <row r="49" spans="6:26" s="112" customFormat="1" ht="12" outlineLevel="2">
      <c r="F49" s="104"/>
      <c r="G49" s="105"/>
      <c r="H49" s="106" t="s">
        <v>97</v>
      </c>
      <c r="I49" s="106"/>
      <c r="J49" s="107" t="s">
        <v>106</v>
      </c>
      <c r="K49" s="105" t="s">
        <v>2</v>
      </c>
      <c r="L49" s="108">
        <v>160</v>
      </c>
      <c r="M49" s="109"/>
      <c r="N49" s="108">
        <f t="shared" si="6"/>
        <v>160</v>
      </c>
      <c r="O49" s="113"/>
      <c r="P49" s="110">
        <f t="shared" si="5"/>
        <v>0</v>
      </c>
      <c r="Q49" s="111"/>
      <c r="R49" s="109"/>
      <c r="S49" s="111"/>
      <c r="T49" s="109"/>
      <c r="U49" s="110"/>
      <c r="V49" s="110"/>
      <c r="W49" s="110"/>
      <c r="X49" s="107"/>
      <c r="Y49" s="106"/>
      <c r="Z49" s="106"/>
    </row>
    <row r="50" spans="6:26" s="112" customFormat="1" ht="12" outlineLevel="2">
      <c r="F50" s="104">
        <v>35</v>
      </c>
      <c r="G50" s="105"/>
      <c r="H50" s="106"/>
      <c r="I50" s="106"/>
      <c r="J50" s="107" t="s">
        <v>156</v>
      </c>
      <c r="K50" s="105" t="s">
        <v>2</v>
      </c>
      <c r="L50" s="108">
        <f>121+39</f>
        <v>160</v>
      </c>
      <c r="M50" s="109">
        <v>0</v>
      </c>
      <c r="N50" s="108">
        <f t="shared" si="6"/>
        <v>160</v>
      </c>
      <c r="O50" s="113"/>
      <c r="P50" s="110">
        <f t="shared" si="5"/>
        <v>0</v>
      </c>
      <c r="Q50" s="111"/>
      <c r="R50" s="109"/>
      <c r="S50" s="111"/>
      <c r="T50" s="109"/>
      <c r="U50" s="110"/>
      <c r="V50" s="110"/>
      <c r="W50" s="110"/>
      <c r="X50" s="107"/>
      <c r="Y50" s="106"/>
      <c r="Z50" s="106"/>
    </row>
    <row r="51" spans="6:26" s="165" customFormat="1" ht="24" outlineLevel="2">
      <c r="F51" s="156">
        <v>36</v>
      </c>
      <c r="G51" s="157"/>
      <c r="H51" s="158" t="s">
        <v>242</v>
      </c>
      <c r="I51" s="158" t="s">
        <v>243</v>
      </c>
      <c r="J51" s="159" t="s">
        <v>243</v>
      </c>
      <c r="K51" s="157" t="s">
        <v>15</v>
      </c>
      <c r="L51" s="160">
        <v>6</v>
      </c>
      <c r="M51" s="161">
        <v>0</v>
      </c>
      <c r="N51" s="160">
        <f t="shared" si="6"/>
        <v>6</v>
      </c>
      <c r="O51" s="162"/>
      <c r="P51" s="163">
        <f t="shared" si="5"/>
        <v>0</v>
      </c>
      <c r="Q51" s="164"/>
      <c r="R51" s="161"/>
      <c r="S51" s="164"/>
      <c r="T51" s="161"/>
      <c r="U51" s="163"/>
      <c r="V51" s="163"/>
      <c r="W51" s="163"/>
      <c r="X51" s="159"/>
      <c r="Y51" s="158"/>
      <c r="Z51" s="158"/>
    </row>
    <row r="52" spans="6:26" s="165" customFormat="1" ht="24" outlineLevel="2">
      <c r="F52" s="156"/>
      <c r="G52" s="157"/>
      <c r="H52" s="158" t="s">
        <v>244</v>
      </c>
      <c r="I52" s="158" t="s">
        <v>245</v>
      </c>
      <c r="J52" s="159" t="s">
        <v>245</v>
      </c>
      <c r="K52" s="157" t="s">
        <v>15</v>
      </c>
      <c r="L52" s="160">
        <v>6</v>
      </c>
      <c r="M52" s="161">
        <v>0</v>
      </c>
      <c r="N52" s="160">
        <f t="shared" si="6"/>
        <v>6</v>
      </c>
      <c r="O52" s="162"/>
      <c r="P52" s="163">
        <f t="shared" si="5"/>
        <v>0</v>
      </c>
      <c r="Q52" s="164"/>
      <c r="R52" s="161"/>
      <c r="S52" s="164"/>
      <c r="T52" s="161"/>
      <c r="U52" s="163"/>
      <c r="V52" s="163"/>
      <c r="W52" s="163"/>
      <c r="X52" s="159"/>
      <c r="Y52" s="158"/>
      <c r="Z52" s="158"/>
    </row>
    <row r="53" spans="6:26" s="165" customFormat="1" ht="24" outlineLevel="2">
      <c r="F53" s="156"/>
      <c r="G53" s="157"/>
      <c r="H53" s="158" t="s">
        <v>248</v>
      </c>
      <c r="I53" s="158"/>
      <c r="J53" s="159" t="s">
        <v>249</v>
      </c>
      <c r="K53" s="157" t="s">
        <v>15</v>
      </c>
      <c r="L53" s="160">
        <v>6</v>
      </c>
      <c r="M53" s="161">
        <v>0</v>
      </c>
      <c r="N53" s="160">
        <f t="shared" si="6"/>
        <v>6</v>
      </c>
      <c r="O53" s="162"/>
      <c r="P53" s="163">
        <f t="shared" si="5"/>
        <v>0</v>
      </c>
      <c r="Q53" s="164"/>
      <c r="R53" s="161"/>
      <c r="S53" s="164"/>
      <c r="T53" s="161"/>
      <c r="U53" s="163"/>
      <c r="V53" s="163"/>
      <c r="W53" s="163"/>
      <c r="X53" s="159"/>
      <c r="Y53" s="158"/>
      <c r="Z53" s="158"/>
    </row>
    <row r="54" spans="6:26" s="112" customFormat="1" ht="24" outlineLevel="2">
      <c r="F54" s="104">
        <v>37</v>
      </c>
      <c r="G54" s="105" t="s">
        <v>5</v>
      </c>
      <c r="H54" s="106" t="s">
        <v>98</v>
      </c>
      <c r="I54" s="106"/>
      <c r="J54" s="107" t="s">
        <v>99</v>
      </c>
      <c r="K54" s="105" t="s">
        <v>15</v>
      </c>
      <c r="L54" s="108">
        <v>6</v>
      </c>
      <c r="M54" s="109">
        <v>0</v>
      </c>
      <c r="N54" s="108">
        <f t="shared" si="6"/>
        <v>6</v>
      </c>
      <c r="O54" s="113"/>
      <c r="P54" s="110">
        <f t="shared" si="5"/>
        <v>0</v>
      </c>
      <c r="Q54" s="111"/>
      <c r="R54" s="109"/>
      <c r="S54" s="111"/>
      <c r="T54" s="109"/>
      <c r="U54" s="110"/>
      <c r="V54" s="110"/>
      <c r="W54" s="110"/>
      <c r="X54" s="107"/>
      <c r="Y54" s="106"/>
      <c r="Z54" s="106"/>
    </row>
    <row r="55" spans="6:26" s="112" customFormat="1" ht="12" outlineLevel="2">
      <c r="F55" s="104">
        <v>39</v>
      </c>
      <c r="G55" s="105"/>
      <c r="H55" s="106" t="s">
        <v>157</v>
      </c>
      <c r="I55" s="106"/>
      <c r="J55" s="107" t="s">
        <v>158</v>
      </c>
      <c r="K55" s="105" t="s">
        <v>15</v>
      </c>
      <c r="L55" s="108">
        <v>2</v>
      </c>
      <c r="M55" s="109">
        <v>0</v>
      </c>
      <c r="N55" s="108">
        <f>L55*(1+M55/100)</f>
        <v>2</v>
      </c>
      <c r="O55" s="113"/>
      <c r="P55" s="110">
        <f t="shared" si="5"/>
        <v>0</v>
      </c>
      <c r="Q55" s="111"/>
      <c r="R55" s="109"/>
      <c r="S55" s="111"/>
      <c r="T55" s="109"/>
      <c r="U55" s="110"/>
      <c r="V55" s="110"/>
      <c r="W55" s="110"/>
      <c r="X55" s="107"/>
      <c r="Y55" s="106"/>
      <c r="Z55" s="106"/>
    </row>
    <row r="56" spans="6:26" s="112" customFormat="1" ht="12" outlineLevel="2">
      <c r="F56" s="104">
        <v>40</v>
      </c>
      <c r="G56" s="105"/>
      <c r="H56" s="106" t="s">
        <v>159</v>
      </c>
      <c r="I56" s="106"/>
      <c r="J56" s="107" t="s">
        <v>160</v>
      </c>
      <c r="K56" s="105" t="s">
        <v>2</v>
      </c>
      <c r="L56" s="108">
        <v>70</v>
      </c>
      <c r="M56" s="109">
        <v>0</v>
      </c>
      <c r="N56" s="108">
        <f>L56*(1+M56/100)</f>
        <v>70</v>
      </c>
      <c r="O56" s="113"/>
      <c r="P56" s="110">
        <f t="shared" si="5"/>
        <v>0</v>
      </c>
      <c r="Q56" s="111"/>
      <c r="R56" s="109"/>
      <c r="S56" s="111"/>
      <c r="T56" s="109"/>
      <c r="U56" s="110"/>
      <c r="V56" s="110"/>
      <c r="W56" s="110"/>
      <c r="X56" s="107"/>
      <c r="Y56" s="106"/>
      <c r="Z56" s="106"/>
    </row>
    <row r="57" spans="6:26" s="112" customFormat="1" ht="12" outlineLevel="2">
      <c r="F57" s="104">
        <v>41</v>
      </c>
      <c r="G57" s="105"/>
      <c r="H57" s="106" t="s">
        <v>100</v>
      </c>
      <c r="I57" s="106"/>
      <c r="J57" s="107" t="s">
        <v>161</v>
      </c>
      <c r="K57" s="105" t="s">
        <v>15</v>
      </c>
      <c r="L57" s="108">
        <v>2</v>
      </c>
      <c r="M57" s="109">
        <v>0</v>
      </c>
      <c r="N57" s="108">
        <f>L57*(1+M57/100)</f>
        <v>2</v>
      </c>
      <c r="O57" s="113"/>
      <c r="P57" s="110">
        <f t="shared" si="5"/>
        <v>0</v>
      </c>
      <c r="Q57" s="111"/>
      <c r="R57" s="109"/>
      <c r="S57" s="111"/>
      <c r="T57" s="109"/>
      <c r="U57" s="110"/>
      <c r="V57" s="110"/>
      <c r="W57" s="110"/>
      <c r="X57" s="107"/>
      <c r="Y57" s="106"/>
      <c r="Z57" s="106"/>
    </row>
    <row r="58" spans="6:26" s="103" customFormat="1" ht="16.5" customHeight="1" outlineLevel="1">
      <c r="F58" s="104"/>
      <c r="G58" s="80"/>
      <c r="H58" s="96"/>
      <c r="I58" s="96"/>
      <c r="J58" s="96" t="s">
        <v>61</v>
      </c>
      <c r="K58" s="80"/>
      <c r="L58" s="97"/>
      <c r="M58" s="98"/>
      <c r="N58" s="97"/>
      <c r="O58" s="98"/>
      <c r="P58" s="99">
        <f>SUBTOTAL(9,P59:P70)</f>
        <v>0</v>
      </c>
      <c r="Q58" s="100"/>
      <c r="R58" s="101"/>
      <c r="S58" s="98"/>
      <c r="T58" s="101">
        <f>SUBTOTAL(9,T61:T69)</f>
        <v>0</v>
      </c>
      <c r="U58" s="102" t="s">
        <v>1</v>
      </c>
      <c r="V58" s="99">
        <f>SUBTOTAL(9,V61:V69)</f>
        <v>0</v>
      </c>
      <c r="W58" s="99">
        <f>SUBTOTAL(9,W61:W69)</f>
        <v>0</v>
      </c>
      <c r="Y58" s="81"/>
      <c r="Z58" s="81"/>
    </row>
    <row r="59" spans="6:26" s="112" customFormat="1" ht="12" outlineLevel="2">
      <c r="F59" s="104">
        <v>42</v>
      </c>
      <c r="G59" s="105" t="s">
        <v>0</v>
      </c>
      <c r="H59" s="106"/>
      <c r="I59" s="106"/>
      <c r="J59" s="107" t="s">
        <v>162</v>
      </c>
      <c r="K59" s="105" t="s">
        <v>2</v>
      </c>
      <c r="L59" s="108">
        <v>39</v>
      </c>
      <c r="M59" s="109">
        <v>0</v>
      </c>
      <c r="N59" s="108">
        <v>29</v>
      </c>
      <c r="O59" s="113"/>
      <c r="P59" s="110">
        <f>N59*O59</f>
        <v>0</v>
      </c>
      <c r="Q59" s="111"/>
      <c r="R59" s="109"/>
      <c r="S59" s="111"/>
      <c r="T59" s="109"/>
      <c r="U59" s="110"/>
      <c r="V59" s="110"/>
      <c r="W59" s="110"/>
      <c r="X59" s="107"/>
      <c r="Y59" s="106"/>
      <c r="Z59" s="106"/>
    </row>
    <row r="60" spans="6:26" s="112" customFormat="1" ht="12" outlineLevel="2">
      <c r="F60" s="104">
        <v>43</v>
      </c>
      <c r="G60" s="105" t="s">
        <v>0</v>
      </c>
      <c r="H60" s="106"/>
      <c r="I60" s="106"/>
      <c r="J60" s="107" t="s">
        <v>163</v>
      </c>
      <c r="K60" s="105" t="s">
        <v>2</v>
      </c>
      <c r="L60" s="108">
        <v>121</v>
      </c>
      <c r="M60" s="109">
        <v>0</v>
      </c>
      <c r="N60" s="108">
        <v>121</v>
      </c>
      <c r="O60" s="113"/>
      <c r="P60" s="110">
        <f>N60*O60</f>
        <v>0</v>
      </c>
      <c r="Q60" s="111"/>
      <c r="R60" s="109"/>
      <c r="S60" s="111"/>
      <c r="T60" s="109"/>
      <c r="U60" s="110"/>
      <c r="V60" s="110"/>
      <c r="W60" s="110"/>
      <c r="X60" s="107"/>
      <c r="Y60" s="106"/>
      <c r="Z60" s="106"/>
    </row>
    <row r="61" spans="6:26" s="112" customFormat="1" ht="12" outlineLevel="2">
      <c r="F61" s="104">
        <v>44</v>
      </c>
      <c r="G61" s="105" t="s">
        <v>0</v>
      </c>
      <c r="H61" s="106" t="s">
        <v>85</v>
      </c>
      <c r="I61" s="106"/>
      <c r="J61" s="107" t="s">
        <v>164</v>
      </c>
      <c r="K61" s="105" t="s">
        <v>2</v>
      </c>
      <c r="L61" s="108">
        <v>15</v>
      </c>
      <c r="M61" s="109">
        <v>0</v>
      </c>
      <c r="N61" s="108">
        <f>L61*(1+M61/100)</f>
        <v>15</v>
      </c>
      <c r="O61" s="113"/>
      <c r="P61" s="110">
        <f>N61*O61</f>
        <v>0</v>
      </c>
      <c r="Q61" s="111">
        <v>0.0546</v>
      </c>
      <c r="R61" s="109"/>
      <c r="S61" s="111"/>
      <c r="T61" s="109">
        <f>N61*S61</f>
        <v>0</v>
      </c>
      <c r="U61" s="110">
        <v>21</v>
      </c>
      <c r="V61" s="110">
        <f>P61*(U61/100)</f>
        <v>0</v>
      </c>
      <c r="W61" s="110">
        <f>P61+V61</f>
        <v>0</v>
      </c>
      <c r="X61" s="107"/>
      <c r="Y61" s="106" t="s">
        <v>21</v>
      </c>
      <c r="Z61" s="106" t="s">
        <v>18</v>
      </c>
    </row>
    <row r="62" spans="6:26" s="112" customFormat="1" ht="24" outlineLevel="2">
      <c r="F62" s="104">
        <v>45</v>
      </c>
      <c r="G62" s="105" t="s">
        <v>0</v>
      </c>
      <c r="H62" s="106" t="s">
        <v>86</v>
      </c>
      <c r="I62" s="106"/>
      <c r="J62" s="107" t="s">
        <v>101</v>
      </c>
      <c r="K62" s="105" t="s">
        <v>15</v>
      </c>
      <c r="L62" s="108">
        <v>2</v>
      </c>
      <c r="M62" s="109">
        <v>0</v>
      </c>
      <c r="N62" s="108">
        <f>L62*(1+M62/100)</f>
        <v>2</v>
      </c>
      <c r="O62" s="113"/>
      <c r="P62" s="110">
        <f aca="true" t="shared" si="7" ref="P62:P70">N62*O62</f>
        <v>0</v>
      </c>
      <c r="Q62" s="111">
        <v>0.051</v>
      </c>
      <c r="R62" s="109"/>
      <c r="S62" s="111"/>
      <c r="T62" s="109">
        <f>N62*S62</f>
        <v>0</v>
      </c>
      <c r="U62" s="110">
        <v>21</v>
      </c>
      <c r="V62" s="110">
        <f>P62*(U62/100)</f>
        <v>0</v>
      </c>
      <c r="W62" s="110">
        <f>P62+V62</f>
        <v>0</v>
      </c>
      <c r="X62" s="107"/>
      <c r="Y62" s="106" t="s">
        <v>21</v>
      </c>
      <c r="Z62" s="106" t="s">
        <v>18</v>
      </c>
    </row>
    <row r="63" spans="6:26" s="165" customFormat="1" ht="24" outlineLevel="2">
      <c r="F63" s="156">
        <v>46</v>
      </c>
      <c r="G63" s="157"/>
      <c r="H63" s="158"/>
      <c r="I63" s="158"/>
      <c r="J63" s="159" t="s">
        <v>253</v>
      </c>
      <c r="K63" s="157" t="s">
        <v>15</v>
      </c>
      <c r="L63" s="160">
        <v>1</v>
      </c>
      <c r="M63" s="161">
        <v>0</v>
      </c>
      <c r="N63" s="160">
        <v>1</v>
      </c>
      <c r="O63" s="162"/>
      <c r="P63" s="163">
        <f t="shared" si="7"/>
        <v>0</v>
      </c>
      <c r="Q63" s="164"/>
      <c r="R63" s="161"/>
      <c r="S63" s="164"/>
      <c r="T63" s="161"/>
      <c r="U63" s="163"/>
      <c r="V63" s="163"/>
      <c r="W63" s="163"/>
      <c r="X63" s="159"/>
      <c r="Y63" s="158"/>
      <c r="Z63" s="158"/>
    </row>
    <row r="64" spans="6:26" s="165" customFormat="1" ht="12" outlineLevel="2">
      <c r="F64" s="156" t="s">
        <v>165</v>
      </c>
      <c r="G64" s="157"/>
      <c r="H64" s="158"/>
      <c r="I64" s="158"/>
      <c r="J64" s="159" t="s">
        <v>254</v>
      </c>
      <c r="K64" s="157" t="s">
        <v>15</v>
      </c>
      <c r="L64" s="160">
        <v>5</v>
      </c>
      <c r="M64" s="161">
        <v>0</v>
      </c>
      <c r="N64" s="160">
        <v>5</v>
      </c>
      <c r="O64" s="162"/>
      <c r="P64" s="163">
        <f t="shared" si="7"/>
        <v>0</v>
      </c>
      <c r="Q64" s="164"/>
      <c r="R64" s="161"/>
      <c r="S64" s="164"/>
      <c r="T64" s="161"/>
      <c r="U64" s="163"/>
      <c r="V64" s="163"/>
      <c r="W64" s="163"/>
      <c r="X64" s="159"/>
      <c r="Y64" s="158"/>
      <c r="Z64" s="158"/>
    </row>
    <row r="65" spans="6:26" s="165" customFormat="1" ht="24" outlineLevel="2">
      <c r="F65" s="156" t="s">
        <v>166</v>
      </c>
      <c r="G65" s="157"/>
      <c r="H65" s="158"/>
      <c r="I65" s="158"/>
      <c r="J65" s="159" t="s">
        <v>255</v>
      </c>
      <c r="K65" s="157" t="s">
        <v>15</v>
      </c>
      <c r="L65" s="160">
        <v>3</v>
      </c>
      <c r="M65" s="161">
        <v>0</v>
      </c>
      <c r="N65" s="160">
        <v>3</v>
      </c>
      <c r="O65" s="162"/>
      <c r="P65" s="163">
        <f t="shared" si="7"/>
        <v>0</v>
      </c>
      <c r="Q65" s="164"/>
      <c r="R65" s="161"/>
      <c r="S65" s="164"/>
      <c r="T65" s="161"/>
      <c r="U65" s="163"/>
      <c r="V65" s="163"/>
      <c r="W65" s="163"/>
      <c r="X65" s="159"/>
      <c r="Y65" s="158"/>
      <c r="Z65" s="158"/>
    </row>
    <row r="66" spans="6:26" s="165" customFormat="1" ht="24" outlineLevel="2">
      <c r="F66" s="156" t="s">
        <v>167</v>
      </c>
      <c r="G66" s="157" t="s">
        <v>0</v>
      </c>
      <c r="H66" s="158"/>
      <c r="I66" s="158"/>
      <c r="J66" s="159" t="s">
        <v>256</v>
      </c>
      <c r="K66" s="157" t="s">
        <v>15</v>
      </c>
      <c r="L66" s="160">
        <v>2</v>
      </c>
      <c r="M66" s="161">
        <v>0</v>
      </c>
      <c r="N66" s="160">
        <f>L66*(1+M66/100)</f>
        <v>2</v>
      </c>
      <c r="O66" s="162"/>
      <c r="P66" s="163">
        <f t="shared" si="7"/>
        <v>0</v>
      </c>
      <c r="Q66" s="164">
        <v>0.028</v>
      </c>
      <c r="R66" s="161"/>
      <c r="S66" s="164"/>
      <c r="T66" s="161">
        <f>N66*S66</f>
        <v>0</v>
      </c>
      <c r="U66" s="163"/>
      <c r="V66" s="163">
        <f>P66*(U66/100)</f>
        <v>0</v>
      </c>
      <c r="W66" s="163">
        <f>P66+V66</f>
        <v>0</v>
      </c>
      <c r="X66" s="159"/>
      <c r="Y66" s="158" t="s">
        <v>21</v>
      </c>
      <c r="Z66" s="158" t="s">
        <v>18</v>
      </c>
    </row>
    <row r="67" spans="6:26" s="165" customFormat="1" ht="24" outlineLevel="2">
      <c r="F67" s="156"/>
      <c r="G67" s="157"/>
      <c r="H67" s="158"/>
      <c r="I67" s="158"/>
      <c r="J67" s="159" t="s">
        <v>257</v>
      </c>
      <c r="K67" s="157" t="s">
        <v>15</v>
      </c>
      <c r="L67" s="160">
        <v>1</v>
      </c>
      <c r="M67" s="161">
        <v>0</v>
      </c>
      <c r="N67" s="160">
        <f>L67*(1+M67/100)</f>
        <v>1</v>
      </c>
      <c r="O67" s="162"/>
      <c r="P67" s="163">
        <f t="shared" si="7"/>
        <v>0</v>
      </c>
      <c r="Q67" s="164"/>
      <c r="R67" s="161"/>
      <c r="S67" s="164"/>
      <c r="T67" s="161"/>
      <c r="U67" s="163"/>
      <c r="V67" s="163"/>
      <c r="W67" s="163"/>
      <c r="X67" s="159"/>
      <c r="Y67" s="158"/>
      <c r="Z67" s="158"/>
    </row>
    <row r="68" spans="6:26" s="165" customFormat="1" ht="12" outlineLevel="2">
      <c r="F68" s="156"/>
      <c r="G68" s="157"/>
      <c r="H68" s="158"/>
      <c r="I68" s="158"/>
      <c r="J68" s="159" t="s">
        <v>258</v>
      </c>
      <c r="K68" s="157" t="s">
        <v>15</v>
      </c>
      <c r="L68" s="160">
        <v>5</v>
      </c>
      <c r="M68" s="161">
        <v>0</v>
      </c>
      <c r="N68" s="160">
        <f>L68*(1+M68/100)</f>
        <v>5</v>
      </c>
      <c r="O68" s="162"/>
      <c r="P68" s="163">
        <f t="shared" si="7"/>
        <v>0</v>
      </c>
      <c r="Q68" s="164"/>
      <c r="R68" s="161"/>
      <c r="S68" s="164"/>
      <c r="T68" s="161"/>
      <c r="U68" s="163"/>
      <c r="V68" s="163"/>
      <c r="W68" s="163"/>
      <c r="X68" s="159"/>
      <c r="Y68" s="158"/>
      <c r="Z68" s="158"/>
    </row>
    <row r="69" spans="6:26" s="165" customFormat="1" ht="12" outlineLevel="2">
      <c r="F69" s="156">
        <v>50</v>
      </c>
      <c r="G69" s="157"/>
      <c r="H69" s="158"/>
      <c r="I69" s="158"/>
      <c r="J69" s="159" t="s">
        <v>259</v>
      </c>
      <c r="K69" s="157" t="s">
        <v>15</v>
      </c>
      <c r="L69" s="160">
        <v>1</v>
      </c>
      <c r="M69" s="161">
        <v>0</v>
      </c>
      <c r="N69" s="160">
        <f>L69*(1+M69/100)</f>
        <v>1</v>
      </c>
      <c r="O69" s="162"/>
      <c r="P69" s="163">
        <f t="shared" si="7"/>
        <v>0</v>
      </c>
      <c r="Q69" s="164"/>
      <c r="R69" s="161"/>
      <c r="S69" s="164"/>
      <c r="T69" s="161"/>
      <c r="U69" s="163"/>
      <c r="V69" s="163"/>
      <c r="W69" s="163"/>
      <c r="X69" s="159"/>
      <c r="Y69" s="158"/>
      <c r="Z69" s="158"/>
    </row>
    <row r="70" spans="6:26" s="165" customFormat="1" ht="12" outlineLevel="2">
      <c r="F70" s="156">
        <v>51</v>
      </c>
      <c r="G70" s="157"/>
      <c r="H70" s="158"/>
      <c r="I70" s="158"/>
      <c r="J70" s="159" t="s">
        <v>104</v>
      </c>
      <c r="K70" s="157" t="s">
        <v>15</v>
      </c>
      <c r="L70" s="160">
        <v>8</v>
      </c>
      <c r="M70" s="161">
        <v>0</v>
      </c>
      <c r="N70" s="160">
        <f>L70*(1+M70/100)</f>
        <v>8</v>
      </c>
      <c r="O70" s="162"/>
      <c r="P70" s="163">
        <f t="shared" si="7"/>
        <v>0</v>
      </c>
      <c r="Q70" s="164"/>
      <c r="R70" s="161"/>
      <c r="S70" s="164"/>
      <c r="T70" s="161"/>
      <c r="U70" s="163"/>
      <c r="V70" s="163"/>
      <c r="W70" s="163"/>
      <c r="X70" s="159"/>
      <c r="Y70" s="158"/>
      <c r="Z70" s="158"/>
    </row>
    <row r="71" spans="6:26" s="112" customFormat="1" ht="12" outlineLevel="2">
      <c r="F71" s="124"/>
      <c r="G71" s="125"/>
      <c r="H71" s="126"/>
      <c r="I71" s="126"/>
      <c r="J71" s="127"/>
      <c r="K71" s="125"/>
      <c r="L71" s="128"/>
      <c r="M71" s="129"/>
      <c r="N71" s="128"/>
      <c r="O71" s="130"/>
      <c r="P71" s="131"/>
      <c r="Q71" s="132"/>
      <c r="R71" s="129"/>
      <c r="S71" s="132"/>
      <c r="T71" s="129"/>
      <c r="U71" s="131"/>
      <c r="V71" s="131"/>
      <c r="W71" s="131"/>
      <c r="X71" s="127"/>
      <c r="Y71" s="126"/>
      <c r="Z71" s="126"/>
    </row>
    <row r="72" spans="6:26" s="103" customFormat="1" ht="16.5" customHeight="1" outlineLevel="1">
      <c r="F72" s="95"/>
      <c r="G72" s="80"/>
      <c r="H72" s="96"/>
      <c r="I72" s="96"/>
      <c r="J72" s="96" t="s">
        <v>168</v>
      </c>
      <c r="K72" s="80"/>
      <c r="L72" s="97"/>
      <c r="M72" s="98"/>
      <c r="N72" s="97"/>
      <c r="O72" s="98"/>
      <c r="P72" s="99">
        <f>SUBTOTAL(9,P73:P77)</f>
        <v>0</v>
      </c>
      <c r="Q72" s="100"/>
      <c r="R72" s="101"/>
      <c r="S72" s="98"/>
      <c r="T72" s="101">
        <f>SUBTOTAL(9,T73:T78)</f>
        <v>0</v>
      </c>
      <c r="U72" s="102" t="s">
        <v>1</v>
      </c>
      <c r="V72" s="99">
        <f>SUBTOTAL(9,V73:V78)</f>
        <v>0</v>
      </c>
      <c r="W72" s="99">
        <f>SUBTOTAL(9,W73:W78)</f>
        <v>0</v>
      </c>
      <c r="Y72" s="81"/>
      <c r="Z72" s="81"/>
    </row>
    <row r="73" spans="6:26" s="112" customFormat="1" ht="24" outlineLevel="2">
      <c r="F73" s="104">
        <v>52</v>
      </c>
      <c r="G73" s="105"/>
      <c r="H73" s="106"/>
      <c r="I73" s="106"/>
      <c r="J73" s="107" t="s">
        <v>169</v>
      </c>
      <c r="K73" s="105" t="s">
        <v>15</v>
      </c>
      <c r="L73" s="108">
        <v>1</v>
      </c>
      <c r="M73" s="109">
        <v>0</v>
      </c>
      <c r="N73" s="108">
        <f>L73*(1+M73/100)</f>
        <v>1</v>
      </c>
      <c r="O73" s="110"/>
      <c r="P73" s="110">
        <f>N73*O73</f>
        <v>0</v>
      </c>
      <c r="Q73" s="111"/>
      <c r="R73" s="109"/>
      <c r="S73" s="111"/>
      <c r="T73" s="109">
        <f>N73*S73</f>
        <v>0</v>
      </c>
      <c r="U73" s="110">
        <v>21</v>
      </c>
      <c r="V73" s="110">
        <f>P73*(U73/100)</f>
        <v>0</v>
      </c>
      <c r="W73" s="110">
        <f>P73+V73</f>
        <v>0</v>
      </c>
      <c r="X73" s="107"/>
      <c r="Y73" s="106" t="s">
        <v>21</v>
      </c>
      <c r="Z73" s="106" t="s">
        <v>170</v>
      </c>
    </row>
    <row r="74" spans="6:26" s="112" customFormat="1" ht="12" outlineLevel="2">
      <c r="F74" s="104">
        <v>53</v>
      </c>
      <c r="G74" s="105" t="s">
        <v>5</v>
      </c>
      <c r="H74" s="106" t="s">
        <v>171</v>
      </c>
      <c r="I74" s="106"/>
      <c r="J74" s="107" t="s">
        <v>172</v>
      </c>
      <c r="K74" s="105" t="s">
        <v>3</v>
      </c>
      <c r="L74" s="108">
        <v>0.2</v>
      </c>
      <c r="M74" s="109">
        <v>0</v>
      </c>
      <c r="N74" s="108">
        <f>L74*(1+M74/100)</f>
        <v>0.2</v>
      </c>
      <c r="O74" s="110"/>
      <c r="P74" s="110">
        <f>N74*O74</f>
        <v>0</v>
      </c>
      <c r="Q74" s="111"/>
      <c r="R74" s="109"/>
      <c r="S74" s="111"/>
      <c r="T74" s="109">
        <f>N74*S74</f>
        <v>0</v>
      </c>
      <c r="U74" s="110">
        <v>21</v>
      </c>
      <c r="V74" s="110">
        <f>P74*(U74/100)</f>
        <v>0</v>
      </c>
      <c r="W74" s="110">
        <f>P74+V74</f>
        <v>0</v>
      </c>
      <c r="X74" s="107"/>
      <c r="Y74" s="106" t="s">
        <v>21</v>
      </c>
      <c r="Z74" s="106" t="s">
        <v>170</v>
      </c>
    </row>
    <row r="75" spans="6:26" s="112" customFormat="1" ht="24" outlineLevel="2">
      <c r="F75" s="104">
        <v>54</v>
      </c>
      <c r="G75" s="105" t="s">
        <v>5</v>
      </c>
      <c r="H75" s="106" t="s">
        <v>173</v>
      </c>
      <c r="I75" s="106"/>
      <c r="J75" s="107" t="s">
        <v>174</v>
      </c>
      <c r="K75" s="105" t="s">
        <v>3</v>
      </c>
      <c r="L75" s="108">
        <v>0.2</v>
      </c>
      <c r="M75" s="109">
        <v>0</v>
      </c>
      <c r="N75" s="108">
        <f>L75*(1+M75/100)</f>
        <v>0.2</v>
      </c>
      <c r="O75" s="110"/>
      <c r="P75" s="110">
        <f>N75*O75</f>
        <v>0</v>
      </c>
      <c r="Q75" s="111"/>
      <c r="R75" s="109"/>
      <c r="S75" s="111"/>
      <c r="T75" s="109">
        <f>N75*S75</f>
        <v>0</v>
      </c>
      <c r="U75" s="110">
        <v>21</v>
      </c>
      <c r="V75" s="110">
        <f>P75*(U75/100)</f>
        <v>0</v>
      </c>
      <c r="W75" s="110">
        <f>P75+V75</f>
        <v>0</v>
      </c>
      <c r="X75" s="107"/>
      <c r="Y75" s="106" t="s">
        <v>21</v>
      </c>
      <c r="Z75" s="106" t="s">
        <v>170</v>
      </c>
    </row>
    <row r="76" spans="6:26" s="112" customFormat="1" ht="12" outlineLevel="2">
      <c r="F76" s="104">
        <v>55</v>
      </c>
      <c r="G76" s="105" t="s">
        <v>5</v>
      </c>
      <c r="H76" s="106" t="s">
        <v>175</v>
      </c>
      <c r="I76" s="106"/>
      <c r="J76" s="107" t="s">
        <v>176</v>
      </c>
      <c r="K76" s="105" t="s">
        <v>3</v>
      </c>
      <c r="L76" s="108">
        <v>0.2</v>
      </c>
      <c r="M76" s="109">
        <v>0</v>
      </c>
      <c r="N76" s="108">
        <f>L76*(1+M76/100)</f>
        <v>0.2</v>
      </c>
      <c r="O76" s="110"/>
      <c r="P76" s="110">
        <f>N76*O76</f>
        <v>0</v>
      </c>
      <c r="Q76" s="111"/>
      <c r="R76" s="109"/>
      <c r="S76" s="111"/>
      <c r="T76" s="109">
        <f>N76*S76</f>
        <v>0</v>
      </c>
      <c r="U76" s="110">
        <v>21</v>
      </c>
      <c r="V76" s="110">
        <f>P76*(U76/100)</f>
        <v>0</v>
      </c>
      <c r="W76" s="110">
        <f>P76+V76</f>
        <v>0</v>
      </c>
      <c r="X76" s="107"/>
      <c r="Y76" s="106" t="s">
        <v>21</v>
      </c>
      <c r="Z76" s="106" t="s">
        <v>170</v>
      </c>
    </row>
    <row r="77" spans="6:26" s="112" customFormat="1" ht="12" outlineLevel="2">
      <c r="F77" s="104">
        <v>56</v>
      </c>
      <c r="G77" s="105" t="s">
        <v>5</v>
      </c>
      <c r="H77" s="106" t="s">
        <v>177</v>
      </c>
      <c r="I77" s="106"/>
      <c r="J77" s="107" t="s">
        <v>178</v>
      </c>
      <c r="K77" s="105" t="s">
        <v>3</v>
      </c>
      <c r="L77" s="108">
        <v>0.2</v>
      </c>
      <c r="M77" s="109">
        <v>0</v>
      </c>
      <c r="N77" s="108">
        <f>L77*(1+M77/100)</f>
        <v>0.2</v>
      </c>
      <c r="O77" s="110"/>
      <c r="P77" s="110">
        <f>N77*O77</f>
        <v>0</v>
      </c>
      <c r="Q77" s="111"/>
      <c r="R77" s="109"/>
      <c r="S77" s="111"/>
      <c r="T77" s="109">
        <f>N77*S77</f>
        <v>0</v>
      </c>
      <c r="U77" s="110">
        <v>21</v>
      </c>
      <c r="V77" s="110">
        <f>P77*(U77/100)</f>
        <v>0</v>
      </c>
      <c r="W77" s="110">
        <f>P77+V77</f>
        <v>0</v>
      </c>
      <c r="X77" s="107"/>
      <c r="Y77" s="106" t="s">
        <v>21</v>
      </c>
      <c r="Z77" s="106" t="s">
        <v>170</v>
      </c>
    </row>
    <row r="78" spans="6:26" s="123" customFormat="1" ht="12.75" customHeight="1" outlineLevel="2">
      <c r="F78" s="115">
        <v>57</v>
      </c>
      <c r="G78" s="116"/>
      <c r="H78" s="116"/>
      <c r="I78" s="116"/>
      <c r="J78" s="117"/>
      <c r="K78" s="116"/>
      <c r="L78" s="118"/>
      <c r="M78" s="119"/>
      <c r="N78" s="118"/>
      <c r="O78" s="119"/>
      <c r="P78" s="120"/>
      <c r="Q78" s="121"/>
      <c r="R78" s="119"/>
      <c r="S78" s="119"/>
      <c r="T78" s="119"/>
      <c r="U78" s="122" t="s">
        <v>1</v>
      </c>
      <c r="V78" s="119"/>
      <c r="W78" s="119"/>
      <c r="X78" s="119"/>
      <c r="Y78" s="116"/>
      <c r="Z78" s="116"/>
    </row>
    <row r="79" spans="6:26" s="103" customFormat="1" ht="16.5" customHeight="1" outlineLevel="1">
      <c r="F79" s="95"/>
      <c r="G79" s="80"/>
      <c r="H79" s="96"/>
      <c r="I79" s="96"/>
      <c r="J79" s="96" t="s">
        <v>63</v>
      </c>
      <c r="K79" s="80"/>
      <c r="L79" s="97"/>
      <c r="M79" s="98"/>
      <c r="N79" s="97"/>
      <c r="O79" s="98"/>
      <c r="P79" s="99">
        <f>SUBTOTAL(9,P80:P81)</f>
        <v>0</v>
      </c>
      <c r="Q79" s="100"/>
      <c r="R79" s="101"/>
      <c r="S79" s="98"/>
      <c r="T79" s="101">
        <f>SUBTOTAL(9,T80:T81)</f>
        <v>0</v>
      </c>
      <c r="U79" s="102" t="s">
        <v>1</v>
      </c>
      <c r="V79" s="99">
        <f>SUBTOTAL(9,V80:V81)</f>
        <v>0</v>
      </c>
      <c r="W79" s="99">
        <f>SUBTOTAL(9,W80:W81)</f>
        <v>0</v>
      </c>
      <c r="Y79" s="81"/>
      <c r="Z79" s="81"/>
    </row>
    <row r="80" spans="6:26" s="112" customFormat="1" ht="12" outlineLevel="2">
      <c r="F80" s="104">
        <v>57</v>
      </c>
      <c r="G80" s="105" t="s">
        <v>5</v>
      </c>
      <c r="H80" s="106" t="s">
        <v>48</v>
      </c>
      <c r="I80" s="106"/>
      <c r="J80" s="107" t="s">
        <v>82</v>
      </c>
      <c r="K80" s="105" t="s">
        <v>3</v>
      </c>
      <c r="L80" s="108">
        <v>6</v>
      </c>
      <c r="M80" s="109">
        <v>0</v>
      </c>
      <c r="N80" s="108">
        <f>L80*(1+M80/100)</f>
        <v>6</v>
      </c>
      <c r="O80" s="113"/>
      <c r="P80" s="110">
        <f>N80*O80</f>
        <v>0</v>
      </c>
      <c r="Q80" s="111"/>
      <c r="R80" s="109"/>
      <c r="S80" s="111"/>
      <c r="T80" s="109">
        <f>N80*S80</f>
        <v>0</v>
      </c>
      <c r="U80" s="110">
        <v>21</v>
      </c>
      <c r="V80" s="110">
        <f>P80*(U80/100)</f>
        <v>0</v>
      </c>
      <c r="W80" s="110">
        <f>P80+V80</f>
        <v>0</v>
      </c>
      <c r="X80" s="107"/>
      <c r="Y80" s="106" t="s">
        <v>21</v>
      </c>
      <c r="Z80" s="106" t="s">
        <v>11</v>
      </c>
    </row>
    <row r="81" spans="6:26" s="123" customFormat="1" ht="12.75" customHeight="1" outlineLevel="2">
      <c r="F81" s="115"/>
      <c r="G81" s="116"/>
      <c r="H81" s="116"/>
      <c r="I81" s="116"/>
      <c r="J81" s="117"/>
      <c r="K81" s="116"/>
      <c r="L81" s="118"/>
      <c r="M81" s="119"/>
      <c r="N81" s="118"/>
      <c r="O81" s="119"/>
      <c r="P81" s="120"/>
      <c r="Q81" s="121"/>
      <c r="R81" s="119"/>
      <c r="S81" s="119"/>
      <c r="T81" s="119"/>
      <c r="U81" s="122" t="s">
        <v>1</v>
      </c>
      <c r="V81" s="119"/>
      <c r="W81" s="119"/>
      <c r="X81" s="119"/>
      <c r="Y81" s="116"/>
      <c r="Z81" s="116"/>
    </row>
    <row r="82" spans="6:14" ht="12.75">
      <c r="F82" s="145" t="s">
        <v>251</v>
      </c>
      <c r="G82" s="167" t="s">
        <v>260</v>
      </c>
      <c r="H82" s="168"/>
      <c r="I82" s="168"/>
      <c r="J82" s="168"/>
      <c r="K82" s="168"/>
      <c r="L82" s="168"/>
      <c r="M82" s="168"/>
      <c r="N82" s="168"/>
    </row>
  </sheetData>
  <sheetProtection/>
  <mergeCells count="1">
    <mergeCell ref="G82:N82"/>
  </mergeCells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90" r:id="rId1"/>
  <headerFooter alignWithMargins="0">
    <oddFooter>&amp;L&amp;8www.euroCALC.cz&amp;C&amp;8&amp;P z &amp;N&amp;R&amp;8&amp;D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F1:Z93"/>
  <sheetViews>
    <sheetView zoomScaleSheetLayoutView="100" zoomScalePageLayoutView="0" workbookViewId="0" topLeftCell="G1">
      <pane ySplit="3" topLeftCell="A4" activePane="bottomLeft" state="frozen"/>
      <selection pane="topLeft" activeCell="A1" sqref="A1"/>
      <selection pane="bottomLeft" activeCell="O7" sqref="O7"/>
    </sheetView>
  </sheetViews>
  <sheetFormatPr defaultColWidth="9.140625" defaultRowHeight="12.75" outlineLevelRow="2"/>
  <cols>
    <col min="1" max="5" width="0" style="75" hidden="1" customWidth="1"/>
    <col min="6" max="6" width="5.8515625" style="133" customWidth="1"/>
    <col min="7" max="7" width="4.28125" style="138" customWidth="1"/>
    <col min="8" max="8" width="14.28125" style="137" customWidth="1"/>
    <col min="9" max="9" width="10.00390625" style="137" hidden="1" customWidth="1"/>
    <col min="10" max="10" width="57.140625" style="139" customWidth="1"/>
    <col min="11" max="11" width="4.28125" style="138" customWidth="1"/>
    <col min="12" max="12" width="13.7109375" style="140" customWidth="1"/>
    <col min="13" max="13" width="6.8515625" style="134" customWidth="1"/>
    <col min="14" max="14" width="13.421875" style="140" customWidth="1"/>
    <col min="15" max="15" width="12.421875" style="134" customWidth="1"/>
    <col min="16" max="16" width="15.7109375" style="135" customWidth="1"/>
    <col min="17" max="17" width="11.421875" style="136" hidden="1" customWidth="1"/>
    <col min="18" max="18" width="14.28125" style="134" customWidth="1"/>
    <col min="19" max="19" width="11.421875" style="134" hidden="1" customWidth="1"/>
    <col min="20" max="20" width="14.28125" style="134" hidden="1" customWidth="1"/>
    <col min="21" max="21" width="9.7109375" style="134" hidden="1" customWidth="1"/>
    <col min="22" max="22" width="14.57421875" style="134" hidden="1" customWidth="1"/>
    <col min="23" max="23" width="15.7109375" style="134" hidden="1" customWidth="1"/>
    <col min="24" max="24" width="25.7109375" style="134" hidden="1" customWidth="1"/>
    <col min="25" max="26" width="10.00390625" style="137" hidden="1" customWidth="1"/>
    <col min="27" max="27" width="9.421875" style="75" customWidth="1"/>
    <col min="28" max="16384" width="9.140625" style="75" customWidth="1"/>
  </cols>
  <sheetData>
    <row r="1" spans="6:26" ht="21" customHeight="1">
      <c r="F1" s="69"/>
      <c r="G1" s="70"/>
      <c r="H1" s="70"/>
      <c r="I1" s="70"/>
      <c r="J1" s="70"/>
      <c r="K1" s="70"/>
      <c r="L1" s="71"/>
      <c r="M1" s="72"/>
      <c r="N1" s="71"/>
      <c r="O1" s="72"/>
      <c r="P1" s="73"/>
      <c r="Q1" s="74"/>
      <c r="R1" s="72"/>
      <c r="S1" s="72"/>
      <c r="T1" s="72"/>
      <c r="U1" s="72"/>
      <c r="V1" s="72"/>
      <c r="W1" s="72"/>
      <c r="X1" s="72"/>
      <c r="Y1" s="70"/>
      <c r="Z1" s="70"/>
    </row>
    <row r="2" spans="6:26" ht="21" customHeight="1">
      <c r="F2" s="69"/>
      <c r="G2" s="70"/>
      <c r="H2" s="70"/>
      <c r="I2" s="70"/>
      <c r="J2" s="70"/>
      <c r="K2" s="70"/>
      <c r="L2" s="71"/>
      <c r="M2" s="72"/>
      <c r="N2" s="71"/>
      <c r="O2" s="72"/>
      <c r="P2" s="73"/>
      <c r="Q2" s="74"/>
      <c r="R2" s="72"/>
      <c r="S2" s="72"/>
      <c r="T2" s="72"/>
      <c r="U2" s="72"/>
      <c r="V2" s="72"/>
      <c r="W2" s="72"/>
      <c r="X2" s="72"/>
      <c r="Y2" s="70"/>
      <c r="Z2" s="70"/>
    </row>
    <row r="3" spans="6:26" s="78" customFormat="1" ht="13.5" thickBot="1">
      <c r="F3" s="76" t="s">
        <v>26</v>
      </c>
      <c r="G3" s="76" t="s">
        <v>14</v>
      </c>
      <c r="H3" s="76" t="s">
        <v>13</v>
      </c>
      <c r="I3" s="76" t="s">
        <v>50</v>
      </c>
      <c r="J3" s="77" t="s">
        <v>20</v>
      </c>
      <c r="K3" s="76" t="s">
        <v>4</v>
      </c>
      <c r="L3" s="76" t="s">
        <v>62</v>
      </c>
      <c r="M3" s="76" t="s">
        <v>25</v>
      </c>
      <c r="N3" s="76" t="s">
        <v>53</v>
      </c>
      <c r="O3" s="76" t="s">
        <v>52</v>
      </c>
      <c r="P3" s="76" t="s">
        <v>16</v>
      </c>
      <c r="Q3" s="76" t="s">
        <v>55</v>
      </c>
      <c r="R3" s="76" t="s">
        <v>29</v>
      </c>
      <c r="S3" s="76" t="s">
        <v>58</v>
      </c>
      <c r="T3" s="76" t="s">
        <v>22</v>
      </c>
      <c r="U3" s="76" t="s">
        <v>49</v>
      </c>
      <c r="V3" s="76" t="s">
        <v>12</v>
      </c>
      <c r="W3" s="76" t="s">
        <v>51</v>
      </c>
      <c r="X3" s="77" t="s">
        <v>56</v>
      </c>
      <c r="Y3" s="76" t="s">
        <v>23</v>
      </c>
      <c r="Z3" s="76" t="s">
        <v>19</v>
      </c>
    </row>
    <row r="4" spans="6:26" ht="11.25" customHeight="1">
      <c r="F4" s="79"/>
      <c r="G4" s="80"/>
      <c r="H4" s="81"/>
      <c r="I4" s="81"/>
      <c r="J4" s="82"/>
      <c r="K4" s="80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83"/>
      <c r="Y4" s="81"/>
      <c r="Z4" s="81"/>
    </row>
    <row r="5" spans="6:26" s="93" customFormat="1" ht="17.25" customHeight="1">
      <c r="F5" s="84"/>
      <c r="G5" s="85"/>
      <c r="H5" s="86"/>
      <c r="I5" s="86"/>
      <c r="J5" s="86" t="s">
        <v>180</v>
      </c>
      <c r="K5" s="85"/>
      <c r="L5" s="87"/>
      <c r="M5" s="88"/>
      <c r="N5" s="87"/>
      <c r="O5" s="88"/>
      <c r="P5" s="89">
        <f>SUBTOTAL(9,P6:P93)</f>
        <v>0</v>
      </c>
      <c r="Q5" s="90"/>
      <c r="R5" s="91"/>
      <c r="S5" s="88"/>
      <c r="T5" s="91">
        <f>SUBTOTAL(9,T6:T93)</f>
        <v>0</v>
      </c>
      <c r="U5" s="92" t="s">
        <v>1</v>
      </c>
      <c r="V5" s="89">
        <f>SUBTOTAL(9,V6:V93)</f>
        <v>0</v>
      </c>
      <c r="W5" s="89">
        <f>SUBTOTAL(9,W6:W93)</f>
        <v>0</v>
      </c>
      <c r="Y5" s="94"/>
      <c r="Z5" s="94"/>
    </row>
    <row r="6" spans="6:26" s="103" customFormat="1" ht="16.5" customHeight="1" outlineLevel="1">
      <c r="F6" s="95"/>
      <c r="G6" s="80"/>
      <c r="H6" s="96"/>
      <c r="I6" s="96"/>
      <c r="J6" s="96" t="s">
        <v>57</v>
      </c>
      <c r="K6" s="80"/>
      <c r="L6" s="97"/>
      <c r="M6" s="98"/>
      <c r="N6" s="97"/>
      <c r="O6" s="98"/>
      <c r="P6" s="99">
        <f>SUBTOTAL(9,P7:P27)</f>
        <v>0</v>
      </c>
      <c r="Q6" s="100"/>
      <c r="R6" s="101"/>
      <c r="S6" s="98"/>
      <c r="T6" s="101">
        <f>SUBTOTAL(9,T9:T28)</f>
        <v>0</v>
      </c>
      <c r="U6" s="102" t="s">
        <v>1</v>
      </c>
      <c r="V6" s="99">
        <f>SUBTOTAL(9,V9:V28)</f>
        <v>0</v>
      </c>
      <c r="W6" s="99">
        <f>SUBTOTAL(9,W9:W28)</f>
        <v>0</v>
      </c>
      <c r="Y6" s="81"/>
      <c r="Z6" s="81"/>
    </row>
    <row r="7" spans="6:26" s="112" customFormat="1" ht="12" outlineLevel="2">
      <c r="F7" s="104">
        <v>1</v>
      </c>
      <c r="G7" s="105" t="s">
        <v>0</v>
      </c>
      <c r="H7" s="106" t="s">
        <v>88</v>
      </c>
      <c r="I7" s="106"/>
      <c r="J7" s="107" t="s">
        <v>89</v>
      </c>
      <c r="K7" s="105" t="s">
        <v>90</v>
      </c>
      <c r="L7" s="108">
        <v>3</v>
      </c>
      <c r="M7" s="109">
        <v>0</v>
      </c>
      <c r="N7" s="108">
        <f aca="true" t="shared" si="0" ref="N7:N27">L7*(1+M7/100)</f>
        <v>3</v>
      </c>
      <c r="O7" s="109"/>
      <c r="P7" s="110">
        <f aca="true" t="shared" si="1" ref="P7:P27">N7*O7</f>
        <v>0</v>
      </c>
      <c r="Q7" s="111"/>
      <c r="R7" s="109"/>
      <c r="S7" s="111"/>
      <c r="T7" s="109"/>
      <c r="U7" s="110"/>
      <c r="V7" s="110"/>
      <c r="W7" s="110"/>
      <c r="X7" s="107"/>
      <c r="Y7" s="106"/>
      <c r="Z7" s="106"/>
    </row>
    <row r="8" spans="6:26" s="112" customFormat="1" ht="12" outlineLevel="2">
      <c r="F8" s="104">
        <v>2</v>
      </c>
      <c r="G8" s="105" t="s">
        <v>5</v>
      </c>
      <c r="H8" s="106" t="s">
        <v>91</v>
      </c>
      <c r="I8" s="106"/>
      <c r="J8" s="107" t="s">
        <v>181</v>
      </c>
      <c r="K8" s="105" t="s">
        <v>7</v>
      </c>
      <c r="L8" s="108">
        <f>1.5*0.3*70</f>
        <v>31.499999999999996</v>
      </c>
      <c r="M8" s="109">
        <v>0</v>
      </c>
      <c r="N8" s="108">
        <f t="shared" si="0"/>
        <v>31.499999999999996</v>
      </c>
      <c r="O8" s="109"/>
      <c r="P8" s="110">
        <f t="shared" si="1"/>
        <v>0</v>
      </c>
      <c r="Q8" s="111"/>
      <c r="R8" s="109"/>
      <c r="S8" s="111"/>
      <c r="T8" s="109"/>
      <c r="U8" s="110"/>
      <c r="V8" s="110"/>
      <c r="W8" s="110"/>
      <c r="X8" s="107"/>
      <c r="Y8" s="106"/>
      <c r="Z8" s="106"/>
    </row>
    <row r="9" spans="6:26" s="112" customFormat="1" ht="24" outlineLevel="2">
      <c r="F9" s="104">
        <v>3</v>
      </c>
      <c r="G9" s="105" t="s">
        <v>5</v>
      </c>
      <c r="H9" s="106" t="s">
        <v>30</v>
      </c>
      <c r="I9" s="106"/>
      <c r="J9" s="107" t="s">
        <v>87</v>
      </c>
      <c r="K9" s="105" t="s">
        <v>7</v>
      </c>
      <c r="L9" s="108">
        <f>(3*2*2)</f>
        <v>12</v>
      </c>
      <c r="M9" s="109">
        <v>0</v>
      </c>
      <c r="N9" s="108">
        <f t="shared" si="0"/>
        <v>12</v>
      </c>
      <c r="O9" s="113"/>
      <c r="P9" s="110">
        <f t="shared" si="1"/>
        <v>0</v>
      </c>
      <c r="Q9" s="111"/>
      <c r="R9" s="109"/>
      <c r="S9" s="111"/>
      <c r="T9" s="109">
        <f aca="true" t="shared" si="2" ref="T9:T27">N9*S9</f>
        <v>0</v>
      </c>
      <c r="U9" s="110">
        <v>21</v>
      </c>
      <c r="V9" s="110">
        <f aca="true" t="shared" si="3" ref="V9:V27">P9*(U9/100)</f>
        <v>0</v>
      </c>
      <c r="W9" s="110">
        <f aca="true" t="shared" si="4" ref="W9:W27">P9+V9</f>
        <v>0</v>
      </c>
      <c r="X9" s="107"/>
      <c r="Y9" s="106" t="s">
        <v>21</v>
      </c>
      <c r="Z9" s="106" t="s">
        <v>8</v>
      </c>
    </row>
    <row r="10" spans="6:26" s="112" customFormat="1" ht="12" outlineLevel="2">
      <c r="F10" s="104">
        <v>4</v>
      </c>
      <c r="G10" s="105" t="s">
        <v>5</v>
      </c>
      <c r="H10" s="106" t="s">
        <v>31</v>
      </c>
      <c r="I10" s="106"/>
      <c r="J10" s="107" t="s">
        <v>72</v>
      </c>
      <c r="K10" s="105" t="s">
        <v>7</v>
      </c>
      <c r="L10" s="114">
        <f>2.1*4.1*2.4</f>
        <v>20.663999999999998</v>
      </c>
      <c r="M10" s="109">
        <v>0</v>
      </c>
      <c r="N10" s="108">
        <f t="shared" si="0"/>
        <v>20.663999999999998</v>
      </c>
      <c r="O10" s="113"/>
      <c r="P10" s="110">
        <f t="shared" si="1"/>
        <v>0</v>
      </c>
      <c r="Q10" s="111"/>
      <c r="R10" s="109"/>
      <c r="S10" s="111"/>
      <c r="T10" s="109">
        <f t="shared" si="2"/>
        <v>0</v>
      </c>
      <c r="U10" s="110">
        <v>21</v>
      </c>
      <c r="V10" s="110">
        <f t="shared" si="3"/>
        <v>0</v>
      </c>
      <c r="W10" s="110">
        <f t="shared" si="4"/>
        <v>0</v>
      </c>
      <c r="X10" s="107"/>
      <c r="Y10" s="106" t="s">
        <v>21</v>
      </c>
      <c r="Z10" s="106" t="s">
        <v>8</v>
      </c>
    </row>
    <row r="11" spans="6:26" s="112" customFormat="1" ht="12" outlineLevel="2">
      <c r="F11" s="104">
        <v>5</v>
      </c>
      <c r="G11" s="105" t="s">
        <v>5</v>
      </c>
      <c r="H11" s="106" t="s">
        <v>32</v>
      </c>
      <c r="I11" s="106"/>
      <c r="J11" s="107" t="s">
        <v>78</v>
      </c>
      <c r="K11" s="105" t="s">
        <v>7</v>
      </c>
      <c r="L11" s="114">
        <f>0.3*L10</f>
        <v>6.199199999999999</v>
      </c>
      <c r="M11" s="109">
        <v>0</v>
      </c>
      <c r="N11" s="108">
        <f t="shared" si="0"/>
        <v>6.199199999999999</v>
      </c>
      <c r="O11" s="113"/>
      <c r="P11" s="110">
        <f t="shared" si="1"/>
        <v>0</v>
      </c>
      <c r="Q11" s="111"/>
      <c r="R11" s="109"/>
      <c r="S11" s="111"/>
      <c r="T11" s="109">
        <f t="shared" si="2"/>
        <v>0</v>
      </c>
      <c r="U11" s="110">
        <v>21</v>
      </c>
      <c r="V11" s="110">
        <f t="shared" si="3"/>
        <v>0</v>
      </c>
      <c r="W11" s="110">
        <f t="shared" si="4"/>
        <v>0</v>
      </c>
      <c r="X11" s="107"/>
      <c r="Y11" s="106" t="s">
        <v>21</v>
      </c>
      <c r="Z11" s="106" t="s">
        <v>8</v>
      </c>
    </row>
    <row r="12" spans="6:26" s="112" customFormat="1" ht="12" outlineLevel="2">
      <c r="F12" s="104">
        <v>6</v>
      </c>
      <c r="G12" s="105" t="s">
        <v>5</v>
      </c>
      <c r="H12" s="106" t="s">
        <v>33</v>
      </c>
      <c r="I12" s="106"/>
      <c r="J12" s="107" t="s">
        <v>73</v>
      </c>
      <c r="K12" s="105" t="s">
        <v>7</v>
      </c>
      <c r="L12" s="108">
        <f>1.7*70*1+1.5*39*1</f>
        <v>177.5</v>
      </c>
      <c r="M12" s="109">
        <v>0</v>
      </c>
      <c r="N12" s="108">
        <f t="shared" si="0"/>
        <v>177.5</v>
      </c>
      <c r="O12" s="113"/>
      <c r="P12" s="110">
        <f t="shared" si="1"/>
        <v>0</v>
      </c>
      <c r="Q12" s="111"/>
      <c r="R12" s="109"/>
      <c r="S12" s="111"/>
      <c r="T12" s="109">
        <f t="shared" si="2"/>
        <v>0</v>
      </c>
      <c r="U12" s="110">
        <v>21</v>
      </c>
      <c r="V12" s="110">
        <f t="shared" si="3"/>
        <v>0</v>
      </c>
      <c r="W12" s="110">
        <f t="shared" si="4"/>
        <v>0</v>
      </c>
      <c r="X12" s="107"/>
      <c r="Y12" s="106" t="s">
        <v>21</v>
      </c>
      <c r="Z12" s="106" t="s">
        <v>8</v>
      </c>
    </row>
    <row r="13" spans="6:26" s="112" customFormat="1" ht="12" outlineLevel="2">
      <c r="F13" s="104">
        <v>7</v>
      </c>
      <c r="G13" s="105" t="s">
        <v>5</v>
      </c>
      <c r="H13" s="106" t="s">
        <v>34</v>
      </c>
      <c r="I13" s="106"/>
      <c r="J13" s="107" t="s">
        <v>77</v>
      </c>
      <c r="K13" s="105" t="s">
        <v>7</v>
      </c>
      <c r="L13" s="108">
        <f>L12*0.5</f>
        <v>88.75</v>
      </c>
      <c r="M13" s="109">
        <v>0</v>
      </c>
      <c r="N13" s="108">
        <f t="shared" si="0"/>
        <v>88.75</v>
      </c>
      <c r="O13" s="113"/>
      <c r="P13" s="110">
        <f t="shared" si="1"/>
        <v>0</v>
      </c>
      <c r="Q13" s="111"/>
      <c r="R13" s="109"/>
      <c r="S13" s="111"/>
      <c r="T13" s="109">
        <f t="shared" si="2"/>
        <v>0</v>
      </c>
      <c r="U13" s="110">
        <v>21</v>
      </c>
      <c r="V13" s="110">
        <f t="shared" si="3"/>
        <v>0</v>
      </c>
      <c r="W13" s="110">
        <f t="shared" si="4"/>
        <v>0</v>
      </c>
      <c r="X13" s="107"/>
      <c r="Y13" s="106" t="s">
        <v>21</v>
      </c>
      <c r="Z13" s="106" t="s">
        <v>8</v>
      </c>
    </row>
    <row r="14" spans="6:26" s="112" customFormat="1" ht="12" outlineLevel="2">
      <c r="F14" s="104">
        <v>8</v>
      </c>
      <c r="G14" s="105" t="s">
        <v>5</v>
      </c>
      <c r="H14" s="106" t="s">
        <v>35</v>
      </c>
      <c r="I14" s="106"/>
      <c r="J14" s="107" t="s">
        <v>70</v>
      </c>
      <c r="K14" s="105" t="s">
        <v>6</v>
      </c>
      <c r="L14" s="108">
        <f>1.7*70*2+1.5*39*2</f>
        <v>355</v>
      </c>
      <c r="M14" s="109">
        <v>0</v>
      </c>
      <c r="N14" s="108">
        <f t="shared" si="0"/>
        <v>355</v>
      </c>
      <c r="O14" s="113"/>
      <c r="P14" s="110">
        <f t="shared" si="1"/>
        <v>0</v>
      </c>
      <c r="Q14" s="111">
        <v>0.00085</v>
      </c>
      <c r="R14" s="109"/>
      <c r="S14" s="111"/>
      <c r="T14" s="109">
        <f t="shared" si="2"/>
        <v>0</v>
      </c>
      <c r="U14" s="110">
        <v>21</v>
      </c>
      <c r="V14" s="110">
        <f t="shared" si="3"/>
        <v>0</v>
      </c>
      <c r="W14" s="110">
        <f t="shared" si="4"/>
        <v>0</v>
      </c>
      <c r="X14" s="107"/>
      <c r="Y14" s="106" t="s">
        <v>21</v>
      </c>
      <c r="Z14" s="106" t="s">
        <v>8</v>
      </c>
    </row>
    <row r="15" spans="6:26" s="112" customFormat="1" ht="12" outlineLevel="2">
      <c r="F15" s="104">
        <v>9</v>
      </c>
      <c r="G15" s="105" t="s">
        <v>5</v>
      </c>
      <c r="H15" s="106" t="s">
        <v>36</v>
      </c>
      <c r="I15" s="106"/>
      <c r="J15" s="107" t="s">
        <v>74</v>
      </c>
      <c r="K15" s="105" t="s">
        <v>6</v>
      </c>
      <c r="L15" s="108">
        <f>L14</f>
        <v>355</v>
      </c>
      <c r="M15" s="109">
        <v>0</v>
      </c>
      <c r="N15" s="108">
        <f t="shared" si="0"/>
        <v>355</v>
      </c>
      <c r="O15" s="113"/>
      <c r="P15" s="110">
        <f t="shared" si="1"/>
        <v>0</v>
      </c>
      <c r="Q15" s="111"/>
      <c r="R15" s="109"/>
      <c r="S15" s="111"/>
      <c r="T15" s="109">
        <f t="shared" si="2"/>
        <v>0</v>
      </c>
      <c r="U15" s="110">
        <v>21</v>
      </c>
      <c r="V15" s="110">
        <f t="shared" si="3"/>
        <v>0</v>
      </c>
      <c r="W15" s="110">
        <f t="shared" si="4"/>
        <v>0</v>
      </c>
      <c r="X15" s="107"/>
      <c r="Y15" s="106" t="s">
        <v>21</v>
      </c>
      <c r="Z15" s="106" t="s">
        <v>8</v>
      </c>
    </row>
    <row r="16" spans="6:26" s="112" customFormat="1" ht="12" outlineLevel="2">
      <c r="F16" s="104">
        <v>10</v>
      </c>
      <c r="G16" s="105" t="s">
        <v>5</v>
      </c>
      <c r="H16" s="106" t="s">
        <v>37</v>
      </c>
      <c r="I16" s="106"/>
      <c r="J16" s="107" t="s">
        <v>75</v>
      </c>
      <c r="K16" s="105" t="s">
        <v>7</v>
      </c>
      <c r="L16" s="108">
        <f>L12+L10</f>
        <v>198.164</v>
      </c>
      <c r="M16" s="109">
        <v>0</v>
      </c>
      <c r="N16" s="108">
        <f t="shared" si="0"/>
        <v>198.164</v>
      </c>
      <c r="O16" s="113"/>
      <c r="P16" s="110">
        <f t="shared" si="1"/>
        <v>0</v>
      </c>
      <c r="Q16" s="111"/>
      <c r="R16" s="109"/>
      <c r="S16" s="111"/>
      <c r="T16" s="109">
        <f t="shared" si="2"/>
        <v>0</v>
      </c>
      <c r="U16" s="110">
        <v>21</v>
      </c>
      <c r="V16" s="110">
        <f t="shared" si="3"/>
        <v>0</v>
      </c>
      <c r="W16" s="110">
        <f t="shared" si="4"/>
        <v>0</v>
      </c>
      <c r="X16" s="107"/>
      <c r="Y16" s="106" t="s">
        <v>21</v>
      </c>
      <c r="Z16" s="106" t="s">
        <v>8</v>
      </c>
    </row>
    <row r="17" spans="6:26" s="112" customFormat="1" ht="12" outlineLevel="2">
      <c r="F17" s="104">
        <v>11</v>
      </c>
      <c r="G17" s="105" t="s">
        <v>5</v>
      </c>
      <c r="H17" s="106" t="s">
        <v>38</v>
      </c>
      <c r="I17" s="106"/>
      <c r="J17" s="107" t="s">
        <v>79</v>
      </c>
      <c r="K17" s="105" t="s">
        <v>7</v>
      </c>
      <c r="L17" s="108">
        <f>1.3*70*1+1.1*39*1+(L10-1.8*3.1*1.4)</f>
        <v>146.752</v>
      </c>
      <c r="M17" s="109">
        <v>0</v>
      </c>
      <c r="N17" s="108">
        <f t="shared" si="0"/>
        <v>146.752</v>
      </c>
      <c r="O17" s="113"/>
      <c r="P17" s="110">
        <f t="shared" si="1"/>
        <v>0</v>
      </c>
      <c r="Q17" s="111"/>
      <c r="R17" s="109"/>
      <c r="S17" s="111"/>
      <c r="T17" s="109">
        <f t="shared" si="2"/>
        <v>0</v>
      </c>
      <c r="U17" s="110">
        <v>21</v>
      </c>
      <c r="V17" s="110">
        <f t="shared" si="3"/>
        <v>0</v>
      </c>
      <c r="W17" s="110">
        <f t="shared" si="4"/>
        <v>0</v>
      </c>
      <c r="X17" s="107"/>
      <c r="Y17" s="106" t="s">
        <v>21</v>
      </c>
      <c r="Z17" s="106" t="s">
        <v>8</v>
      </c>
    </row>
    <row r="18" spans="6:26" s="112" customFormat="1" ht="12" outlineLevel="2">
      <c r="F18" s="104">
        <v>12</v>
      </c>
      <c r="G18" s="105" t="s">
        <v>5</v>
      </c>
      <c r="H18" s="106" t="s">
        <v>39</v>
      </c>
      <c r="I18" s="106"/>
      <c r="J18" s="107" t="s">
        <v>81</v>
      </c>
      <c r="K18" s="105" t="s">
        <v>7</v>
      </c>
      <c r="L18" s="108">
        <f>(L12-L17)+(1.8*3.1*2.4)</f>
        <v>44.139999999999986</v>
      </c>
      <c r="M18" s="109">
        <v>0</v>
      </c>
      <c r="N18" s="108">
        <f t="shared" si="0"/>
        <v>44.139999999999986</v>
      </c>
      <c r="O18" s="113"/>
      <c r="P18" s="110">
        <f t="shared" si="1"/>
        <v>0</v>
      </c>
      <c r="Q18" s="111"/>
      <c r="R18" s="109"/>
      <c r="S18" s="111"/>
      <c r="T18" s="109">
        <f t="shared" si="2"/>
        <v>0</v>
      </c>
      <c r="U18" s="110">
        <v>21</v>
      </c>
      <c r="V18" s="110">
        <f t="shared" si="3"/>
        <v>0</v>
      </c>
      <c r="W18" s="110">
        <f t="shared" si="4"/>
        <v>0</v>
      </c>
      <c r="X18" s="107"/>
      <c r="Y18" s="106" t="s">
        <v>21</v>
      </c>
      <c r="Z18" s="106" t="s">
        <v>8</v>
      </c>
    </row>
    <row r="19" spans="6:26" s="112" customFormat="1" ht="12" outlineLevel="2">
      <c r="F19" s="104">
        <v>13</v>
      </c>
      <c r="G19" s="105" t="s">
        <v>5</v>
      </c>
      <c r="H19" s="106" t="s">
        <v>40</v>
      </c>
      <c r="I19" s="106"/>
      <c r="J19" s="107" t="s">
        <v>69</v>
      </c>
      <c r="K19" s="105" t="s">
        <v>7</v>
      </c>
      <c r="L19" s="108">
        <f>L18</f>
        <v>44.139999999999986</v>
      </c>
      <c r="M19" s="109">
        <v>0</v>
      </c>
      <c r="N19" s="108">
        <f t="shared" si="0"/>
        <v>44.139999999999986</v>
      </c>
      <c r="O19" s="113"/>
      <c r="P19" s="110">
        <f t="shared" si="1"/>
        <v>0</v>
      </c>
      <c r="Q19" s="111"/>
      <c r="R19" s="109"/>
      <c r="S19" s="111"/>
      <c r="T19" s="109">
        <f t="shared" si="2"/>
        <v>0</v>
      </c>
      <c r="U19" s="110">
        <v>21</v>
      </c>
      <c r="V19" s="110">
        <f t="shared" si="3"/>
        <v>0</v>
      </c>
      <c r="W19" s="110">
        <f t="shared" si="4"/>
        <v>0</v>
      </c>
      <c r="X19" s="107"/>
      <c r="Y19" s="106" t="s">
        <v>21</v>
      </c>
      <c r="Z19" s="106" t="s">
        <v>8</v>
      </c>
    </row>
    <row r="20" spans="6:26" s="112" customFormat="1" ht="12" outlineLevel="2">
      <c r="F20" s="104">
        <v>14</v>
      </c>
      <c r="G20" s="105" t="s">
        <v>5</v>
      </c>
      <c r="H20" s="106" t="s">
        <v>41</v>
      </c>
      <c r="I20" s="106"/>
      <c r="J20" s="107" t="s">
        <v>64</v>
      </c>
      <c r="K20" s="105" t="s">
        <v>7</v>
      </c>
      <c r="L20" s="108">
        <f>L18</f>
        <v>44.139999999999986</v>
      </c>
      <c r="M20" s="109">
        <v>0</v>
      </c>
      <c r="N20" s="108">
        <f t="shared" si="0"/>
        <v>44.139999999999986</v>
      </c>
      <c r="O20" s="113"/>
      <c r="P20" s="110">
        <f t="shared" si="1"/>
        <v>0</v>
      </c>
      <c r="Q20" s="111"/>
      <c r="R20" s="109"/>
      <c r="S20" s="111"/>
      <c r="T20" s="109">
        <f t="shared" si="2"/>
        <v>0</v>
      </c>
      <c r="U20" s="110">
        <v>21</v>
      </c>
      <c r="V20" s="110">
        <f t="shared" si="3"/>
        <v>0</v>
      </c>
      <c r="W20" s="110">
        <f t="shared" si="4"/>
        <v>0</v>
      </c>
      <c r="X20" s="107"/>
      <c r="Y20" s="106" t="s">
        <v>21</v>
      </c>
      <c r="Z20" s="106" t="s">
        <v>8</v>
      </c>
    </row>
    <row r="21" spans="6:26" s="112" customFormat="1" ht="24" outlineLevel="2">
      <c r="F21" s="104">
        <v>15</v>
      </c>
      <c r="G21" s="105" t="s">
        <v>5</v>
      </c>
      <c r="H21" s="106" t="s">
        <v>42</v>
      </c>
      <c r="I21" s="106"/>
      <c r="J21" s="107" t="s">
        <v>80</v>
      </c>
      <c r="K21" s="105" t="s">
        <v>3</v>
      </c>
      <c r="L21" s="108">
        <f>1.8*L20</f>
        <v>79.45199999999998</v>
      </c>
      <c r="M21" s="109">
        <v>0</v>
      </c>
      <c r="N21" s="108">
        <f t="shared" si="0"/>
        <v>79.45199999999998</v>
      </c>
      <c r="O21" s="113"/>
      <c r="P21" s="110">
        <f t="shared" si="1"/>
        <v>0</v>
      </c>
      <c r="Q21" s="111"/>
      <c r="R21" s="109"/>
      <c r="S21" s="111"/>
      <c r="T21" s="109">
        <f t="shared" si="2"/>
        <v>0</v>
      </c>
      <c r="U21" s="110">
        <v>21</v>
      </c>
      <c r="V21" s="110">
        <f t="shared" si="3"/>
        <v>0</v>
      </c>
      <c r="W21" s="110">
        <f t="shared" si="4"/>
        <v>0</v>
      </c>
      <c r="X21" s="107"/>
      <c r="Y21" s="106" t="s">
        <v>21</v>
      </c>
      <c r="Z21" s="106" t="s">
        <v>8</v>
      </c>
    </row>
    <row r="22" spans="6:26" s="112" customFormat="1" ht="12" outlineLevel="2">
      <c r="F22" s="104">
        <v>16</v>
      </c>
      <c r="G22" s="105" t="s">
        <v>5</v>
      </c>
      <c r="H22" s="106" t="s">
        <v>43</v>
      </c>
      <c r="I22" s="106"/>
      <c r="J22" s="107" t="s">
        <v>76</v>
      </c>
      <c r="K22" s="105" t="s">
        <v>7</v>
      </c>
      <c r="L22" s="108">
        <f>L17</f>
        <v>146.752</v>
      </c>
      <c r="M22" s="109">
        <v>0</v>
      </c>
      <c r="N22" s="108">
        <f t="shared" si="0"/>
        <v>146.752</v>
      </c>
      <c r="O22" s="113"/>
      <c r="P22" s="110">
        <f t="shared" si="1"/>
        <v>0</v>
      </c>
      <c r="Q22" s="111"/>
      <c r="R22" s="109"/>
      <c r="S22" s="111"/>
      <c r="T22" s="109">
        <f t="shared" si="2"/>
        <v>0</v>
      </c>
      <c r="U22" s="110">
        <v>21</v>
      </c>
      <c r="V22" s="110">
        <f t="shared" si="3"/>
        <v>0</v>
      </c>
      <c r="W22" s="110">
        <f t="shared" si="4"/>
        <v>0</v>
      </c>
      <c r="X22" s="107"/>
      <c r="Y22" s="106" t="s">
        <v>21</v>
      </c>
      <c r="Z22" s="106" t="s">
        <v>8</v>
      </c>
    </row>
    <row r="23" spans="6:26" s="112" customFormat="1" ht="24" outlineLevel="2">
      <c r="F23" s="104">
        <v>17</v>
      </c>
      <c r="G23" s="105" t="s">
        <v>5</v>
      </c>
      <c r="H23" s="106" t="s">
        <v>44</v>
      </c>
      <c r="I23" s="106"/>
      <c r="J23" s="107" t="s">
        <v>83</v>
      </c>
      <c r="K23" s="105" t="s">
        <v>7</v>
      </c>
      <c r="L23" s="108">
        <f>L18</f>
        <v>44.139999999999986</v>
      </c>
      <c r="M23" s="109">
        <v>0</v>
      </c>
      <c r="N23" s="108">
        <f t="shared" si="0"/>
        <v>44.139999999999986</v>
      </c>
      <c r="O23" s="113"/>
      <c r="P23" s="110">
        <f t="shared" si="1"/>
        <v>0</v>
      </c>
      <c r="Q23" s="111"/>
      <c r="R23" s="109"/>
      <c r="S23" s="111"/>
      <c r="T23" s="109">
        <f t="shared" si="2"/>
        <v>0</v>
      </c>
      <c r="U23" s="110">
        <v>21</v>
      </c>
      <c r="V23" s="110">
        <f t="shared" si="3"/>
        <v>0</v>
      </c>
      <c r="W23" s="110">
        <f t="shared" si="4"/>
        <v>0</v>
      </c>
      <c r="X23" s="107"/>
      <c r="Y23" s="106" t="s">
        <v>21</v>
      </c>
      <c r="Z23" s="106" t="s">
        <v>8</v>
      </c>
    </row>
    <row r="24" spans="6:26" s="112" customFormat="1" ht="12" outlineLevel="2">
      <c r="F24" s="104">
        <v>18</v>
      </c>
      <c r="G24" s="105" t="s">
        <v>5</v>
      </c>
      <c r="H24" s="106" t="s">
        <v>45</v>
      </c>
      <c r="I24" s="106"/>
      <c r="J24" s="107" t="s">
        <v>71</v>
      </c>
      <c r="K24" s="105" t="s">
        <v>6</v>
      </c>
      <c r="L24" s="108">
        <f>1*109</f>
        <v>109</v>
      </c>
      <c r="M24" s="109">
        <v>0</v>
      </c>
      <c r="N24" s="108">
        <f t="shared" si="0"/>
        <v>109</v>
      </c>
      <c r="O24" s="113"/>
      <c r="P24" s="110">
        <f t="shared" si="1"/>
        <v>0</v>
      </c>
      <c r="Q24" s="111"/>
      <c r="R24" s="109"/>
      <c r="S24" s="111"/>
      <c r="T24" s="109">
        <f t="shared" si="2"/>
        <v>0</v>
      </c>
      <c r="U24" s="110">
        <v>21</v>
      </c>
      <c r="V24" s="110">
        <f t="shared" si="3"/>
        <v>0</v>
      </c>
      <c r="W24" s="110">
        <f t="shared" si="4"/>
        <v>0</v>
      </c>
      <c r="X24" s="107"/>
      <c r="Y24" s="106" t="s">
        <v>21</v>
      </c>
      <c r="Z24" s="106" t="s">
        <v>8</v>
      </c>
    </row>
    <row r="25" spans="6:26" s="112" customFormat="1" ht="24" outlineLevel="2">
      <c r="F25" s="104">
        <v>19</v>
      </c>
      <c r="G25" s="105" t="s">
        <v>5</v>
      </c>
      <c r="H25" s="106" t="s">
        <v>92</v>
      </c>
      <c r="I25" s="106"/>
      <c r="J25" s="107" t="s">
        <v>93</v>
      </c>
      <c r="K25" s="105" t="s">
        <v>6</v>
      </c>
      <c r="L25" s="108">
        <f>1.5*70</f>
        <v>105</v>
      </c>
      <c r="M25" s="109">
        <v>0</v>
      </c>
      <c r="N25" s="108">
        <f t="shared" si="0"/>
        <v>105</v>
      </c>
      <c r="O25" s="113"/>
      <c r="P25" s="110">
        <f>N25*O25</f>
        <v>0</v>
      </c>
      <c r="Q25" s="111"/>
      <c r="R25" s="109"/>
      <c r="S25" s="111"/>
      <c r="T25" s="109"/>
      <c r="U25" s="110"/>
      <c r="V25" s="110"/>
      <c r="W25" s="110"/>
      <c r="X25" s="107"/>
      <c r="Y25" s="106"/>
      <c r="Z25" s="106"/>
    </row>
    <row r="26" spans="6:26" s="112" customFormat="1" ht="24" outlineLevel="2">
      <c r="F26" s="104">
        <v>20</v>
      </c>
      <c r="G26" s="105" t="s">
        <v>5</v>
      </c>
      <c r="H26" s="106" t="s">
        <v>95</v>
      </c>
      <c r="I26" s="106"/>
      <c r="J26" s="107" t="s">
        <v>94</v>
      </c>
      <c r="K26" s="105" t="s">
        <v>6</v>
      </c>
      <c r="L26" s="108">
        <f>L25</f>
        <v>105</v>
      </c>
      <c r="M26" s="109">
        <v>0</v>
      </c>
      <c r="N26" s="108">
        <f t="shared" si="0"/>
        <v>105</v>
      </c>
      <c r="O26" s="113"/>
      <c r="P26" s="110">
        <f>N26*O26</f>
        <v>0</v>
      </c>
      <c r="Q26" s="111"/>
      <c r="R26" s="109"/>
      <c r="S26" s="111"/>
      <c r="T26" s="109"/>
      <c r="U26" s="110"/>
      <c r="V26" s="110"/>
      <c r="W26" s="110"/>
      <c r="X26" s="107"/>
      <c r="Y26" s="106"/>
      <c r="Z26" s="106"/>
    </row>
    <row r="27" spans="6:26" s="112" customFormat="1" ht="12" outlineLevel="2">
      <c r="F27" s="104">
        <v>21</v>
      </c>
      <c r="G27" s="105" t="s">
        <v>0</v>
      </c>
      <c r="H27" s="106" t="s">
        <v>28</v>
      </c>
      <c r="I27" s="106"/>
      <c r="J27" s="107" t="s">
        <v>65</v>
      </c>
      <c r="K27" s="105" t="s">
        <v>3</v>
      </c>
      <c r="L27" s="108">
        <f>L23*1.9</f>
        <v>83.86599999999997</v>
      </c>
      <c r="M27" s="109">
        <v>0</v>
      </c>
      <c r="N27" s="108">
        <f t="shared" si="0"/>
        <v>83.86599999999997</v>
      </c>
      <c r="O27" s="113"/>
      <c r="P27" s="110">
        <f t="shared" si="1"/>
        <v>0</v>
      </c>
      <c r="Q27" s="111">
        <v>1</v>
      </c>
      <c r="R27" s="109"/>
      <c r="S27" s="111"/>
      <c r="T27" s="109">
        <f t="shared" si="2"/>
        <v>0</v>
      </c>
      <c r="U27" s="110">
        <v>21</v>
      </c>
      <c r="V27" s="110">
        <f t="shared" si="3"/>
        <v>0</v>
      </c>
      <c r="W27" s="110">
        <f t="shared" si="4"/>
        <v>0</v>
      </c>
      <c r="X27" s="107"/>
      <c r="Y27" s="106" t="s">
        <v>21</v>
      </c>
      <c r="Z27" s="106" t="s">
        <v>8</v>
      </c>
    </row>
    <row r="28" spans="6:26" s="123" customFormat="1" ht="12.75" customHeight="1" outlineLevel="2">
      <c r="F28" s="115"/>
      <c r="G28" s="116"/>
      <c r="H28" s="116"/>
      <c r="I28" s="116"/>
      <c r="J28" s="117"/>
      <c r="K28" s="116"/>
      <c r="L28" s="118"/>
      <c r="M28" s="119"/>
      <c r="N28" s="118"/>
      <c r="O28" s="119"/>
      <c r="P28" s="120"/>
      <c r="Q28" s="121"/>
      <c r="R28" s="119"/>
      <c r="S28" s="119"/>
      <c r="T28" s="119"/>
      <c r="U28" s="122" t="s">
        <v>1</v>
      </c>
      <c r="V28" s="119"/>
      <c r="W28" s="119"/>
      <c r="X28" s="119"/>
      <c r="Y28" s="116"/>
      <c r="Z28" s="116"/>
    </row>
    <row r="29" spans="6:26" s="103" customFormat="1" ht="16.5" customHeight="1" outlineLevel="1">
      <c r="F29" s="95"/>
      <c r="G29" s="80"/>
      <c r="H29" s="96"/>
      <c r="I29" s="96"/>
      <c r="J29" s="96" t="s">
        <v>67</v>
      </c>
      <c r="K29" s="80"/>
      <c r="L29" s="97"/>
      <c r="M29" s="98"/>
      <c r="N29" s="97"/>
      <c r="O29" s="98"/>
      <c r="P29" s="99">
        <f>SUBTOTAL(9,P30:P34)</f>
        <v>0</v>
      </c>
      <c r="Q29" s="100"/>
      <c r="R29" s="101"/>
      <c r="S29" s="98"/>
      <c r="T29" s="101">
        <f>SUBTOTAL(9,T30:T35)</f>
        <v>0</v>
      </c>
      <c r="U29" s="102" t="s">
        <v>1</v>
      </c>
      <c r="V29" s="99">
        <f>SUBTOTAL(9,V30:V35)</f>
        <v>0</v>
      </c>
      <c r="W29" s="99">
        <f>SUBTOTAL(9,W30:W35)</f>
        <v>0</v>
      </c>
      <c r="Y29" s="81"/>
      <c r="Z29" s="81"/>
    </row>
    <row r="30" spans="6:26" s="112" customFormat="1" ht="12" outlineLevel="2">
      <c r="F30" s="104">
        <v>22</v>
      </c>
      <c r="G30" s="105" t="s">
        <v>5</v>
      </c>
      <c r="H30" s="106" t="s">
        <v>39</v>
      </c>
      <c r="I30" s="106"/>
      <c r="J30" s="107" t="s">
        <v>81</v>
      </c>
      <c r="K30" s="105" t="s">
        <v>7</v>
      </c>
      <c r="L30" s="108">
        <f>0.5*L12</f>
        <v>88.75</v>
      </c>
      <c r="M30" s="109">
        <v>0</v>
      </c>
      <c r="N30" s="108">
        <f>L30*(1+M30/100)</f>
        <v>88.75</v>
      </c>
      <c r="O30" s="113"/>
      <c r="P30" s="110">
        <f>N30*O30</f>
        <v>0</v>
      </c>
      <c r="Q30" s="111"/>
      <c r="R30" s="109"/>
      <c r="S30" s="111"/>
      <c r="T30" s="109">
        <f>N30*S30</f>
        <v>0</v>
      </c>
      <c r="U30" s="110"/>
      <c r="V30" s="110">
        <f>P30*(U30/100)</f>
        <v>0</v>
      </c>
      <c r="W30" s="110">
        <f>P30+V30</f>
        <v>0</v>
      </c>
      <c r="X30" s="107"/>
      <c r="Y30" s="106" t="s">
        <v>21</v>
      </c>
      <c r="Z30" s="106" t="s">
        <v>17</v>
      </c>
    </row>
    <row r="31" spans="6:26" s="112" customFormat="1" ht="12" outlineLevel="2">
      <c r="F31" s="104">
        <v>23</v>
      </c>
      <c r="G31" s="105" t="s">
        <v>5</v>
      </c>
      <c r="H31" s="106" t="s">
        <v>40</v>
      </c>
      <c r="I31" s="106"/>
      <c r="J31" s="107" t="s">
        <v>69</v>
      </c>
      <c r="K31" s="105" t="s">
        <v>7</v>
      </c>
      <c r="L31" s="108">
        <f>L30</f>
        <v>88.75</v>
      </c>
      <c r="M31" s="109">
        <v>0</v>
      </c>
      <c r="N31" s="108">
        <f>L31*(1+M31/100)</f>
        <v>88.75</v>
      </c>
      <c r="O31" s="113"/>
      <c r="P31" s="110">
        <f>N31*O31</f>
        <v>0</v>
      </c>
      <c r="Q31" s="111"/>
      <c r="R31" s="109"/>
      <c r="S31" s="111"/>
      <c r="T31" s="109">
        <f>N31*S31</f>
        <v>0</v>
      </c>
      <c r="U31" s="110">
        <v>21</v>
      </c>
      <c r="V31" s="110">
        <f>P31*(U31/100)</f>
        <v>0</v>
      </c>
      <c r="W31" s="110">
        <f>P31+V31</f>
        <v>0</v>
      </c>
      <c r="X31" s="107"/>
      <c r="Y31" s="106" t="s">
        <v>21</v>
      </c>
      <c r="Z31" s="106" t="s">
        <v>17</v>
      </c>
    </row>
    <row r="32" spans="6:26" s="112" customFormat="1" ht="12" outlineLevel="2">
      <c r="F32" s="104">
        <v>24</v>
      </c>
      <c r="G32" s="105" t="s">
        <v>5</v>
      </c>
      <c r="H32" s="106" t="s">
        <v>41</v>
      </c>
      <c r="I32" s="106"/>
      <c r="J32" s="107" t="s">
        <v>64</v>
      </c>
      <c r="K32" s="105" t="s">
        <v>7</v>
      </c>
      <c r="L32" s="108">
        <f>L30</f>
        <v>88.75</v>
      </c>
      <c r="M32" s="109">
        <v>0</v>
      </c>
      <c r="N32" s="108">
        <f>L32*(1+M32/100)</f>
        <v>88.75</v>
      </c>
      <c r="O32" s="113"/>
      <c r="P32" s="110">
        <f>N32*O32</f>
        <v>0</v>
      </c>
      <c r="Q32" s="111"/>
      <c r="R32" s="109"/>
      <c r="S32" s="111"/>
      <c r="T32" s="109">
        <f>N32*S32</f>
        <v>0</v>
      </c>
      <c r="U32" s="110">
        <v>21</v>
      </c>
      <c r="V32" s="110">
        <f>P32*(U32/100)</f>
        <v>0</v>
      </c>
      <c r="W32" s="110">
        <f>P32+V32</f>
        <v>0</v>
      </c>
      <c r="X32" s="107"/>
      <c r="Y32" s="106" t="s">
        <v>21</v>
      </c>
      <c r="Z32" s="106" t="s">
        <v>17</v>
      </c>
    </row>
    <row r="33" spans="6:26" s="112" customFormat="1" ht="24" outlineLevel="2">
      <c r="F33" s="104">
        <v>25</v>
      </c>
      <c r="G33" s="105" t="s">
        <v>5</v>
      </c>
      <c r="H33" s="106" t="s">
        <v>42</v>
      </c>
      <c r="I33" s="106"/>
      <c r="J33" s="107" t="s">
        <v>80</v>
      </c>
      <c r="K33" s="105" t="s">
        <v>3</v>
      </c>
      <c r="L33" s="108">
        <f>1.8*L30</f>
        <v>159.75</v>
      </c>
      <c r="M33" s="109">
        <v>0</v>
      </c>
      <c r="N33" s="108">
        <f>L33*(1+M33/100)</f>
        <v>159.75</v>
      </c>
      <c r="O33" s="113"/>
      <c r="P33" s="110">
        <f>N33*O33</f>
        <v>0</v>
      </c>
      <c r="Q33" s="111"/>
      <c r="R33" s="109"/>
      <c r="S33" s="111"/>
      <c r="T33" s="109">
        <f>N33*S33</f>
        <v>0</v>
      </c>
      <c r="U33" s="110">
        <v>21</v>
      </c>
      <c r="V33" s="110">
        <f>P33*(U33/100)</f>
        <v>0</v>
      </c>
      <c r="W33" s="110">
        <f>P33+V33</f>
        <v>0</v>
      </c>
      <c r="X33" s="107"/>
      <c r="Y33" s="106" t="s">
        <v>21</v>
      </c>
      <c r="Z33" s="106" t="s">
        <v>17</v>
      </c>
    </row>
    <row r="34" spans="6:26" s="112" customFormat="1" ht="12" outlineLevel="2">
      <c r="F34" s="104">
        <v>26</v>
      </c>
      <c r="G34" s="105" t="s">
        <v>0</v>
      </c>
      <c r="H34" s="106" t="s">
        <v>27</v>
      </c>
      <c r="I34" s="106"/>
      <c r="J34" s="107" t="s">
        <v>66</v>
      </c>
      <c r="K34" s="105" t="s">
        <v>3</v>
      </c>
      <c r="L34" s="108">
        <f>L30*1.8</f>
        <v>159.75</v>
      </c>
      <c r="M34" s="109">
        <v>0</v>
      </c>
      <c r="N34" s="108">
        <f>L34*(1+M34/100)</f>
        <v>159.75</v>
      </c>
      <c r="O34" s="113"/>
      <c r="P34" s="110">
        <f>N34*O34</f>
        <v>0</v>
      </c>
      <c r="Q34" s="111">
        <v>1</v>
      </c>
      <c r="R34" s="109"/>
      <c r="S34" s="111"/>
      <c r="T34" s="109">
        <f>N34*S34</f>
        <v>0</v>
      </c>
      <c r="U34" s="110"/>
      <c r="V34" s="110">
        <f>P34*(U34/100)</f>
        <v>0</v>
      </c>
      <c r="W34" s="110">
        <f>P34+V34</f>
        <v>0</v>
      </c>
      <c r="X34" s="107"/>
      <c r="Y34" s="106" t="s">
        <v>21</v>
      </c>
      <c r="Z34" s="106" t="s">
        <v>17</v>
      </c>
    </row>
    <row r="35" spans="6:26" s="123" customFormat="1" ht="12.75" customHeight="1" outlineLevel="2">
      <c r="F35" s="115"/>
      <c r="G35" s="116"/>
      <c r="H35" s="116"/>
      <c r="I35" s="116"/>
      <c r="J35" s="117"/>
      <c r="K35" s="116"/>
      <c r="L35" s="118"/>
      <c r="M35" s="119"/>
      <c r="N35" s="118"/>
      <c r="O35" s="119"/>
      <c r="P35" s="120"/>
      <c r="Q35" s="121"/>
      <c r="R35" s="119"/>
      <c r="S35" s="119"/>
      <c r="T35" s="119"/>
      <c r="U35" s="122" t="s">
        <v>1</v>
      </c>
      <c r="V35" s="119"/>
      <c r="W35" s="119"/>
      <c r="X35" s="119"/>
      <c r="Y35" s="116"/>
      <c r="Z35" s="116"/>
    </row>
    <row r="36" spans="6:26" s="103" customFormat="1" ht="16.5" customHeight="1" outlineLevel="1">
      <c r="F36" s="95"/>
      <c r="G36" s="80"/>
      <c r="H36" s="96"/>
      <c r="I36" s="96"/>
      <c r="J36" s="96" t="s">
        <v>54</v>
      </c>
      <c r="K36" s="80"/>
      <c r="L36" s="97"/>
      <c r="M36" s="98"/>
      <c r="N36" s="97"/>
      <c r="O36" s="98"/>
      <c r="P36" s="99">
        <f>SUBTOTAL(9,P37:P38)</f>
        <v>0</v>
      </c>
      <c r="Q36" s="100"/>
      <c r="R36" s="101"/>
      <c r="S36" s="98"/>
      <c r="T36" s="101">
        <f>SUBTOTAL(9,T37:T38)</f>
        <v>0</v>
      </c>
      <c r="U36" s="102" t="s">
        <v>1</v>
      </c>
      <c r="V36" s="99">
        <f>SUBTOTAL(9,V37:V38)</f>
        <v>0</v>
      </c>
      <c r="W36" s="99">
        <f>SUBTOTAL(9,W37:W38)</f>
        <v>0</v>
      </c>
      <c r="Y36" s="81"/>
      <c r="Z36" s="81"/>
    </row>
    <row r="37" spans="6:26" s="112" customFormat="1" ht="24" outlineLevel="2">
      <c r="F37" s="104">
        <v>27</v>
      </c>
      <c r="G37" s="105" t="s">
        <v>5</v>
      </c>
      <c r="H37" s="106" t="s">
        <v>46</v>
      </c>
      <c r="I37" s="106"/>
      <c r="J37" s="107" t="s">
        <v>84</v>
      </c>
      <c r="K37" s="105" t="s">
        <v>2</v>
      </c>
      <c r="L37" s="108">
        <v>109</v>
      </c>
      <c r="M37" s="109">
        <v>0</v>
      </c>
      <c r="N37" s="108">
        <f>L37*(1+M37/100)</f>
        <v>109</v>
      </c>
      <c r="O37" s="113"/>
      <c r="P37" s="110">
        <f>N37*O37</f>
        <v>0</v>
      </c>
      <c r="Q37" s="111">
        <v>0.22657</v>
      </c>
      <c r="R37" s="109"/>
      <c r="S37" s="111"/>
      <c r="T37" s="109">
        <f>N37*S37</f>
        <v>0</v>
      </c>
      <c r="U37" s="110"/>
      <c r="V37" s="110">
        <f>P37*(U37/100)</f>
        <v>0</v>
      </c>
      <c r="W37" s="110">
        <f>P37+V37</f>
        <v>0</v>
      </c>
      <c r="X37" s="107"/>
      <c r="Y37" s="106" t="s">
        <v>21</v>
      </c>
      <c r="Z37" s="106" t="s">
        <v>9</v>
      </c>
    </row>
    <row r="38" spans="6:26" s="123" customFormat="1" ht="12.75" customHeight="1" outlineLevel="2">
      <c r="F38" s="115"/>
      <c r="G38" s="116"/>
      <c r="H38" s="116"/>
      <c r="I38" s="116"/>
      <c r="J38" s="117"/>
      <c r="K38" s="116"/>
      <c r="L38" s="118"/>
      <c r="M38" s="119"/>
      <c r="N38" s="118"/>
      <c r="O38" s="119"/>
      <c r="P38" s="120"/>
      <c r="Q38" s="121"/>
      <c r="R38" s="119"/>
      <c r="S38" s="119"/>
      <c r="T38" s="119"/>
      <c r="U38" s="122" t="s">
        <v>1</v>
      </c>
      <c r="V38" s="119"/>
      <c r="W38" s="119"/>
      <c r="X38" s="119"/>
      <c r="Y38" s="116"/>
      <c r="Z38" s="116"/>
    </row>
    <row r="39" spans="6:26" s="103" customFormat="1" ht="16.5" customHeight="1" outlineLevel="1">
      <c r="F39" s="95"/>
      <c r="G39" s="80"/>
      <c r="H39" s="96"/>
      <c r="I39" s="96"/>
      <c r="J39" s="96" t="s">
        <v>60</v>
      </c>
      <c r="K39" s="80"/>
      <c r="L39" s="97"/>
      <c r="M39" s="98"/>
      <c r="N39" s="97"/>
      <c r="O39" s="98"/>
      <c r="P39" s="99">
        <f>SUBTOTAL(9,P40:P42)</f>
        <v>0</v>
      </c>
      <c r="Q39" s="100"/>
      <c r="R39" s="101"/>
      <c r="S39" s="98"/>
      <c r="T39" s="101">
        <f>SUBTOTAL(9,T40:T42)</f>
        <v>0</v>
      </c>
      <c r="U39" s="102" t="s">
        <v>1</v>
      </c>
      <c r="V39" s="99">
        <f>SUBTOTAL(9,V40:V42)</f>
        <v>0</v>
      </c>
      <c r="W39" s="99">
        <f>SUBTOTAL(9,W40:W42)</f>
        <v>0</v>
      </c>
      <c r="Y39" s="81"/>
      <c r="Z39" s="81"/>
    </row>
    <row r="40" spans="6:26" s="112" customFormat="1" ht="12" outlineLevel="2">
      <c r="F40" s="104">
        <v>28</v>
      </c>
      <c r="G40" s="105" t="s">
        <v>5</v>
      </c>
      <c r="H40" s="106" t="s">
        <v>47</v>
      </c>
      <c r="I40" s="106"/>
      <c r="J40" s="107" t="s">
        <v>68</v>
      </c>
      <c r="K40" s="105" t="s">
        <v>7</v>
      </c>
      <c r="L40" s="108">
        <f>109*1*0.15</f>
        <v>16.349999999999998</v>
      </c>
      <c r="M40" s="109">
        <v>0</v>
      </c>
      <c r="N40" s="108">
        <f>L40*(1+M40/100)</f>
        <v>16.349999999999998</v>
      </c>
      <c r="O40" s="113"/>
      <c r="P40" s="110">
        <f>N40*O40</f>
        <v>0</v>
      </c>
      <c r="Q40" s="111">
        <v>1.89077</v>
      </c>
      <c r="R40" s="109"/>
      <c r="S40" s="111"/>
      <c r="T40" s="109">
        <f>N40*S40</f>
        <v>0</v>
      </c>
      <c r="U40" s="110">
        <v>21</v>
      </c>
      <c r="V40" s="110">
        <f>P40*(U40/100)</f>
        <v>0</v>
      </c>
      <c r="W40" s="110">
        <f>P40+V40</f>
        <v>0</v>
      </c>
      <c r="X40" s="107"/>
      <c r="Y40" s="106" t="s">
        <v>21</v>
      </c>
      <c r="Z40" s="106" t="s">
        <v>10</v>
      </c>
    </row>
    <row r="41" spans="6:26" s="112" customFormat="1" ht="12" outlineLevel="2">
      <c r="F41" s="104">
        <v>29</v>
      </c>
      <c r="G41" s="105"/>
      <c r="H41" s="106"/>
      <c r="I41" s="106"/>
      <c r="J41" s="107" t="s">
        <v>182</v>
      </c>
      <c r="K41" s="105" t="s">
        <v>2</v>
      </c>
      <c r="L41" s="108">
        <v>109</v>
      </c>
      <c r="M41" s="109"/>
      <c r="N41" s="108">
        <f>L41*(1+M41/100)</f>
        <v>109</v>
      </c>
      <c r="O41" s="113"/>
      <c r="P41" s="110">
        <f>N41*O41</f>
        <v>0</v>
      </c>
      <c r="Q41" s="111"/>
      <c r="R41" s="109"/>
      <c r="S41" s="111"/>
      <c r="T41" s="109"/>
      <c r="U41" s="110"/>
      <c r="V41" s="110"/>
      <c r="W41" s="110"/>
      <c r="X41" s="107"/>
      <c r="Y41" s="106"/>
      <c r="Z41" s="106"/>
    </row>
    <row r="42" spans="6:26" s="112" customFormat="1" ht="12" outlineLevel="2">
      <c r="F42" s="104">
        <v>30</v>
      </c>
      <c r="G42" s="105" t="s">
        <v>5</v>
      </c>
      <c r="H42" s="106" t="s">
        <v>24</v>
      </c>
      <c r="I42" s="106"/>
      <c r="J42" s="107" t="s">
        <v>183</v>
      </c>
      <c r="K42" s="105" t="s">
        <v>2</v>
      </c>
      <c r="L42" s="108">
        <v>109</v>
      </c>
      <c r="M42" s="109">
        <v>0</v>
      </c>
      <c r="N42" s="108">
        <f>L42*(1+M42/100)</f>
        <v>109</v>
      </c>
      <c r="O42" s="113"/>
      <c r="P42" s="110">
        <f>N42*O42</f>
        <v>0</v>
      </c>
      <c r="Q42" s="111"/>
      <c r="R42" s="109"/>
      <c r="S42" s="111"/>
      <c r="T42" s="109">
        <f>N42*S42</f>
        <v>0</v>
      </c>
      <c r="U42" s="110">
        <v>21</v>
      </c>
      <c r="V42" s="110">
        <f>P42*(U42/100)</f>
        <v>0</v>
      </c>
      <c r="W42" s="110">
        <f>P42+V42</f>
        <v>0</v>
      </c>
      <c r="X42" s="107"/>
      <c r="Y42" s="106" t="s">
        <v>21</v>
      </c>
      <c r="Z42" s="106" t="s">
        <v>10</v>
      </c>
    </row>
    <row r="43" spans="6:26" s="123" customFormat="1" ht="12.75" customHeight="1" outlineLevel="2">
      <c r="F43" s="115"/>
      <c r="G43" s="116"/>
      <c r="H43" s="116"/>
      <c r="I43" s="116"/>
      <c r="J43" s="117"/>
      <c r="K43" s="116"/>
      <c r="L43" s="118"/>
      <c r="M43" s="119"/>
      <c r="N43" s="118"/>
      <c r="O43" s="119"/>
      <c r="P43" s="120"/>
      <c r="Q43" s="121"/>
      <c r="R43" s="119"/>
      <c r="S43" s="119"/>
      <c r="T43" s="119"/>
      <c r="U43" s="122" t="s">
        <v>1</v>
      </c>
      <c r="V43" s="119"/>
      <c r="W43" s="119"/>
      <c r="X43" s="119"/>
      <c r="Y43" s="116"/>
      <c r="Z43" s="116"/>
    </row>
    <row r="44" spans="6:26" s="103" customFormat="1" ht="16.5" customHeight="1" outlineLevel="1">
      <c r="F44" s="95"/>
      <c r="G44" s="80"/>
      <c r="H44" s="96"/>
      <c r="I44" s="96"/>
      <c r="J44" s="96" t="s">
        <v>59</v>
      </c>
      <c r="K44" s="80"/>
      <c r="L44" s="97"/>
      <c r="M44" s="98"/>
      <c r="N44" s="97"/>
      <c r="O44" s="98"/>
      <c r="P44" s="99">
        <f>SUBTOTAL(9,P45:P62)</f>
        <v>0</v>
      </c>
      <c r="Q44" s="100"/>
      <c r="R44" s="101"/>
      <c r="S44" s="98"/>
      <c r="T44" s="101">
        <f>SUBTOTAL(9,T45:T55)</f>
        <v>0</v>
      </c>
      <c r="U44" s="102" t="s">
        <v>1</v>
      </c>
      <c r="V44" s="99">
        <f>SUBTOTAL(9,V45:V55)</f>
        <v>0</v>
      </c>
      <c r="W44" s="99">
        <f>SUBTOTAL(9,W45:W55)</f>
        <v>0</v>
      </c>
      <c r="Y44" s="81"/>
      <c r="Z44" s="81"/>
    </row>
    <row r="45" spans="6:26" s="112" customFormat="1" ht="12" outlineLevel="2">
      <c r="F45" s="104">
        <v>31</v>
      </c>
      <c r="G45" s="105" t="s">
        <v>5</v>
      </c>
      <c r="H45" s="106" t="s">
        <v>147</v>
      </c>
      <c r="I45" s="106"/>
      <c r="J45" s="107" t="s">
        <v>184</v>
      </c>
      <c r="K45" s="105" t="s">
        <v>185</v>
      </c>
      <c r="L45" s="108">
        <v>7</v>
      </c>
      <c r="M45" s="109">
        <v>0</v>
      </c>
      <c r="N45" s="108">
        <f aca="true" t="shared" si="5" ref="N45:N62">L45*(1+M45/100)</f>
        <v>7</v>
      </c>
      <c r="O45" s="113"/>
      <c r="P45" s="110">
        <f aca="true" t="shared" si="6" ref="P45:P62">N45*O45</f>
        <v>0</v>
      </c>
      <c r="Q45" s="111">
        <v>0.00011</v>
      </c>
      <c r="R45" s="109"/>
      <c r="S45" s="111"/>
      <c r="T45" s="109">
        <f aca="true" t="shared" si="7" ref="T45:T51">N45*S45</f>
        <v>0</v>
      </c>
      <c r="U45" s="110">
        <v>21</v>
      </c>
      <c r="V45" s="110">
        <f aca="true" t="shared" si="8" ref="V45:V51">P45*(U45/100)</f>
        <v>0</v>
      </c>
      <c r="W45" s="110">
        <f aca="true" t="shared" si="9" ref="W45:W51">P45+V45</f>
        <v>0</v>
      </c>
      <c r="X45" s="107"/>
      <c r="Y45" s="106" t="s">
        <v>21</v>
      </c>
      <c r="Z45" s="106" t="s">
        <v>149</v>
      </c>
    </row>
    <row r="46" spans="6:26" s="112" customFormat="1" ht="24" outlineLevel="2">
      <c r="F46" s="104">
        <v>32</v>
      </c>
      <c r="G46" s="105" t="s">
        <v>5</v>
      </c>
      <c r="H46" s="106" t="s">
        <v>150</v>
      </c>
      <c r="I46" s="106"/>
      <c r="J46" s="107" t="s">
        <v>186</v>
      </c>
      <c r="K46" s="105" t="s">
        <v>2</v>
      </c>
      <c r="L46" s="108">
        <v>109</v>
      </c>
      <c r="M46" s="109">
        <v>0</v>
      </c>
      <c r="N46" s="108">
        <f t="shared" si="5"/>
        <v>109</v>
      </c>
      <c r="O46" s="113"/>
      <c r="P46" s="110">
        <f t="shared" si="6"/>
        <v>0</v>
      </c>
      <c r="Q46" s="111">
        <v>0.00017</v>
      </c>
      <c r="R46" s="109"/>
      <c r="S46" s="111"/>
      <c r="T46" s="109">
        <f t="shared" si="7"/>
        <v>0</v>
      </c>
      <c r="U46" s="110">
        <v>21</v>
      </c>
      <c r="V46" s="110">
        <f t="shared" si="8"/>
        <v>0</v>
      </c>
      <c r="W46" s="110">
        <f t="shared" si="9"/>
        <v>0</v>
      </c>
      <c r="X46" s="107"/>
      <c r="Y46" s="106" t="s">
        <v>21</v>
      </c>
      <c r="Z46" s="106" t="s">
        <v>149</v>
      </c>
    </row>
    <row r="47" spans="6:26" s="112" customFormat="1" ht="12" outlineLevel="2">
      <c r="F47" s="104">
        <v>33</v>
      </c>
      <c r="G47" s="105" t="s">
        <v>5</v>
      </c>
      <c r="H47" s="106" t="s">
        <v>187</v>
      </c>
      <c r="I47" s="106"/>
      <c r="J47" s="107" t="s">
        <v>188</v>
      </c>
      <c r="K47" s="105" t="s">
        <v>2</v>
      </c>
      <c r="L47" s="108">
        <v>109</v>
      </c>
      <c r="M47" s="109">
        <v>0</v>
      </c>
      <c r="N47" s="108">
        <f t="shared" si="5"/>
        <v>109</v>
      </c>
      <c r="O47" s="113"/>
      <c r="P47" s="110">
        <f t="shared" si="6"/>
        <v>0</v>
      </c>
      <c r="Q47" s="111"/>
      <c r="R47" s="109"/>
      <c r="S47" s="111"/>
      <c r="T47" s="109">
        <f t="shared" si="7"/>
        <v>0</v>
      </c>
      <c r="U47" s="110"/>
      <c r="V47" s="110">
        <f t="shared" si="8"/>
        <v>0</v>
      </c>
      <c r="W47" s="110">
        <f t="shared" si="9"/>
        <v>0</v>
      </c>
      <c r="X47" s="107"/>
      <c r="Y47" s="106" t="s">
        <v>21</v>
      </c>
      <c r="Z47" s="106" t="s">
        <v>149</v>
      </c>
    </row>
    <row r="48" spans="6:26" s="112" customFormat="1" ht="12" outlineLevel="2">
      <c r="F48" s="104">
        <v>34</v>
      </c>
      <c r="G48" s="105"/>
      <c r="H48" s="106"/>
      <c r="I48" s="106"/>
      <c r="J48" s="107" t="s">
        <v>189</v>
      </c>
      <c r="K48" s="105" t="s">
        <v>15</v>
      </c>
      <c r="L48" s="108">
        <v>2</v>
      </c>
      <c r="M48" s="109"/>
      <c r="N48" s="108">
        <f t="shared" si="5"/>
        <v>2</v>
      </c>
      <c r="O48" s="113"/>
      <c r="P48" s="110">
        <f t="shared" si="6"/>
        <v>0</v>
      </c>
      <c r="Q48" s="111"/>
      <c r="R48" s="109"/>
      <c r="S48" s="111"/>
      <c r="T48" s="109"/>
      <c r="U48" s="110"/>
      <c r="V48" s="110"/>
      <c r="W48" s="110"/>
      <c r="X48" s="107"/>
      <c r="Y48" s="106"/>
      <c r="Z48" s="106"/>
    </row>
    <row r="49" spans="6:26" s="112" customFormat="1" ht="12" outlineLevel="2">
      <c r="F49" s="104">
        <v>35</v>
      </c>
      <c r="G49" s="105" t="s">
        <v>5</v>
      </c>
      <c r="H49" s="106" t="s">
        <v>190</v>
      </c>
      <c r="I49" s="106"/>
      <c r="J49" s="107" t="s">
        <v>191</v>
      </c>
      <c r="K49" s="105" t="s">
        <v>15</v>
      </c>
      <c r="L49" s="108">
        <v>2</v>
      </c>
      <c r="M49" s="109">
        <v>0</v>
      </c>
      <c r="N49" s="108">
        <f t="shared" si="5"/>
        <v>2</v>
      </c>
      <c r="O49" s="113"/>
      <c r="P49" s="110">
        <f t="shared" si="6"/>
        <v>0</v>
      </c>
      <c r="Q49" s="111">
        <v>2.25689</v>
      </c>
      <c r="R49" s="109"/>
      <c r="S49" s="111"/>
      <c r="T49" s="109">
        <f t="shared" si="7"/>
        <v>0</v>
      </c>
      <c r="U49" s="110">
        <v>21</v>
      </c>
      <c r="V49" s="110">
        <f t="shared" si="8"/>
        <v>0</v>
      </c>
      <c r="W49" s="110">
        <f t="shared" si="9"/>
        <v>0</v>
      </c>
      <c r="X49" s="107"/>
      <c r="Y49" s="106" t="s">
        <v>21</v>
      </c>
      <c r="Z49" s="106" t="s">
        <v>149</v>
      </c>
    </row>
    <row r="50" spans="6:26" s="112" customFormat="1" ht="12" outlineLevel="2">
      <c r="F50" s="104">
        <v>36</v>
      </c>
      <c r="G50" s="105" t="s">
        <v>5</v>
      </c>
      <c r="H50" s="106" t="s">
        <v>192</v>
      </c>
      <c r="I50" s="106"/>
      <c r="J50" s="107" t="s">
        <v>193</v>
      </c>
      <c r="K50" s="105" t="s">
        <v>15</v>
      </c>
      <c r="L50" s="108">
        <v>2</v>
      </c>
      <c r="M50" s="109">
        <v>0</v>
      </c>
      <c r="N50" s="108">
        <f t="shared" si="5"/>
        <v>2</v>
      </c>
      <c r="O50" s="113"/>
      <c r="P50" s="110">
        <f t="shared" si="6"/>
        <v>0</v>
      </c>
      <c r="Q50" s="111">
        <v>0.00702</v>
      </c>
      <c r="R50" s="109"/>
      <c r="S50" s="111"/>
      <c r="T50" s="109">
        <f t="shared" si="7"/>
        <v>0</v>
      </c>
      <c r="U50" s="110">
        <v>21</v>
      </c>
      <c r="V50" s="110">
        <f t="shared" si="8"/>
        <v>0</v>
      </c>
      <c r="W50" s="110">
        <f t="shared" si="9"/>
        <v>0</v>
      </c>
      <c r="X50" s="107"/>
      <c r="Y50" s="106" t="s">
        <v>21</v>
      </c>
      <c r="Z50" s="106" t="s">
        <v>149</v>
      </c>
    </row>
    <row r="51" spans="6:26" s="112" customFormat="1" ht="24" outlineLevel="2">
      <c r="F51" s="104">
        <v>37</v>
      </c>
      <c r="G51" s="105" t="s">
        <v>5</v>
      </c>
      <c r="H51" s="106" t="s">
        <v>194</v>
      </c>
      <c r="I51" s="106"/>
      <c r="J51" s="107" t="s">
        <v>195</v>
      </c>
      <c r="K51" s="105" t="s">
        <v>15</v>
      </c>
      <c r="L51" s="108">
        <v>3</v>
      </c>
      <c r="M51" s="109">
        <v>0</v>
      </c>
      <c r="N51" s="108">
        <f t="shared" si="5"/>
        <v>3</v>
      </c>
      <c r="O51" s="113"/>
      <c r="P51" s="110">
        <f t="shared" si="6"/>
        <v>0</v>
      </c>
      <c r="Q51" s="111"/>
      <c r="R51" s="109"/>
      <c r="S51" s="111"/>
      <c r="T51" s="109">
        <f t="shared" si="7"/>
        <v>0</v>
      </c>
      <c r="U51" s="110">
        <v>21</v>
      </c>
      <c r="V51" s="110">
        <f t="shared" si="8"/>
        <v>0</v>
      </c>
      <c r="W51" s="110">
        <f t="shared" si="9"/>
        <v>0</v>
      </c>
      <c r="X51" s="107"/>
      <c r="Y51" s="106" t="s">
        <v>21</v>
      </c>
      <c r="Z51" s="106" t="s">
        <v>149</v>
      </c>
    </row>
    <row r="52" spans="6:26" s="112" customFormat="1" ht="12" outlineLevel="2">
      <c r="F52" s="104">
        <v>38</v>
      </c>
      <c r="G52" s="105"/>
      <c r="H52" s="106" t="s">
        <v>154</v>
      </c>
      <c r="I52" s="106"/>
      <c r="J52" s="107" t="s">
        <v>196</v>
      </c>
      <c r="K52" s="105" t="s">
        <v>2</v>
      </c>
      <c r="L52" s="108">
        <v>109</v>
      </c>
      <c r="M52" s="109">
        <v>0</v>
      </c>
      <c r="N52" s="108">
        <f t="shared" si="5"/>
        <v>109</v>
      </c>
      <c r="O52" s="113"/>
      <c r="P52" s="110">
        <f t="shared" si="6"/>
        <v>0</v>
      </c>
      <c r="Q52" s="111"/>
      <c r="R52" s="109"/>
      <c r="S52" s="111"/>
      <c r="T52" s="109"/>
      <c r="U52" s="110"/>
      <c r="V52" s="110"/>
      <c r="W52" s="110"/>
      <c r="X52" s="107"/>
      <c r="Y52" s="106"/>
      <c r="Z52" s="106"/>
    </row>
    <row r="53" spans="6:26" s="112" customFormat="1" ht="12" outlineLevel="2">
      <c r="F53" s="104">
        <v>39</v>
      </c>
      <c r="G53" s="105"/>
      <c r="H53" s="106" t="s">
        <v>197</v>
      </c>
      <c r="I53" s="106"/>
      <c r="J53" s="107" t="s">
        <v>198</v>
      </c>
      <c r="K53" s="105" t="s">
        <v>2</v>
      </c>
      <c r="L53" s="108">
        <v>109</v>
      </c>
      <c r="M53" s="109">
        <v>0</v>
      </c>
      <c r="N53" s="108">
        <f t="shared" si="5"/>
        <v>109</v>
      </c>
      <c r="O53" s="113"/>
      <c r="P53" s="110">
        <f t="shared" si="6"/>
        <v>0</v>
      </c>
      <c r="Q53" s="111"/>
      <c r="R53" s="109"/>
      <c r="S53" s="111"/>
      <c r="T53" s="109"/>
      <c r="U53" s="110"/>
      <c r="V53" s="110"/>
      <c r="W53" s="110"/>
      <c r="X53" s="107"/>
      <c r="Y53" s="106"/>
      <c r="Z53" s="106"/>
    </row>
    <row r="54" spans="6:26" s="112" customFormat="1" ht="12" outlineLevel="2">
      <c r="F54" s="104">
        <v>40</v>
      </c>
      <c r="G54" s="105"/>
      <c r="H54" s="106" t="s">
        <v>157</v>
      </c>
      <c r="I54" s="106"/>
      <c r="J54" s="107" t="s">
        <v>158</v>
      </c>
      <c r="K54" s="105" t="s">
        <v>15</v>
      </c>
      <c r="L54" s="108">
        <v>2</v>
      </c>
      <c r="M54" s="109">
        <v>0</v>
      </c>
      <c r="N54" s="108">
        <f t="shared" si="5"/>
        <v>2</v>
      </c>
      <c r="O54" s="113"/>
      <c r="P54" s="110">
        <f t="shared" si="6"/>
        <v>0</v>
      </c>
      <c r="Q54" s="111"/>
      <c r="R54" s="109"/>
      <c r="S54" s="111"/>
      <c r="T54" s="109"/>
      <c r="U54" s="110"/>
      <c r="V54" s="110"/>
      <c r="W54" s="110"/>
      <c r="X54" s="107"/>
      <c r="Y54" s="106"/>
      <c r="Z54" s="106"/>
    </row>
    <row r="55" spans="6:26" s="112" customFormat="1" ht="12" outlineLevel="2">
      <c r="F55" s="104">
        <v>41</v>
      </c>
      <c r="G55" s="105"/>
      <c r="H55" s="106" t="s">
        <v>199</v>
      </c>
      <c r="I55" s="106"/>
      <c r="J55" s="107" t="s">
        <v>200</v>
      </c>
      <c r="K55" s="105" t="s">
        <v>15</v>
      </c>
      <c r="L55" s="108">
        <v>3</v>
      </c>
      <c r="M55" s="109">
        <v>0</v>
      </c>
      <c r="N55" s="108">
        <f t="shared" si="5"/>
        <v>3</v>
      </c>
      <c r="O55" s="113"/>
      <c r="P55" s="110">
        <f t="shared" si="6"/>
        <v>0</v>
      </c>
      <c r="Q55" s="111"/>
      <c r="R55" s="109"/>
      <c r="S55" s="111"/>
      <c r="T55" s="109"/>
      <c r="U55" s="110" t="s">
        <v>1</v>
      </c>
      <c r="V55" s="110"/>
      <c r="W55" s="110"/>
      <c r="X55" s="107"/>
      <c r="Y55" s="106"/>
      <c r="Z55" s="106"/>
    </row>
    <row r="56" spans="6:26" s="112" customFormat="1" ht="12" outlineLevel="2">
      <c r="F56" s="104">
        <v>42</v>
      </c>
      <c r="G56" s="105"/>
      <c r="H56" s="106"/>
      <c r="I56" s="106"/>
      <c r="J56" s="107" t="s">
        <v>201</v>
      </c>
      <c r="K56" s="105" t="s">
        <v>15</v>
      </c>
      <c r="L56" s="108">
        <v>1</v>
      </c>
      <c r="M56" s="109">
        <v>0</v>
      </c>
      <c r="N56" s="108">
        <f t="shared" si="5"/>
        <v>1</v>
      </c>
      <c r="O56" s="113"/>
      <c r="P56" s="110">
        <f t="shared" si="6"/>
        <v>0</v>
      </c>
      <c r="Q56" s="111"/>
      <c r="R56" s="109"/>
      <c r="S56" s="111"/>
      <c r="T56" s="109"/>
      <c r="U56" s="110"/>
      <c r="V56" s="110"/>
      <c r="W56" s="110"/>
      <c r="X56" s="107"/>
      <c r="Y56" s="106"/>
      <c r="Z56" s="106"/>
    </row>
    <row r="57" spans="6:26" s="112" customFormat="1" ht="12" outlineLevel="2">
      <c r="F57" s="104">
        <v>43</v>
      </c>
      <c r="G57" s="105"/>
      <c r="H57" s="106"/>
      <c r="I57" s="106"/>
      <c r="J57" s="107" t="s">
        <v>202</v>
      </c>
      <c r="K57" s="105" t="s">
        <v>15</v>
      </c>
      <c r="L57" s="108">
        <v>1</v>
      </c>
      <c r="M57" s="109">
        <v>0</v>
      </c>
      <c r="N57" s="108">
        <f t="shared" si="5"/>
        <v>1</v>
      </c>
      <c r="O57" s="113"/>
      <c r="P57" s="110">
        <f t="shared" si="6"/>
        <v>0</v>
      </c>
      <c r="Q57" s="111"/>
      <c r="R57" s="109"/>
      <c r="S57" s="111"/>
      <c r="T57" s="109"/>
      <c r="U57" s="110"/>
      <c r="V57" s="110"/>
      <c r="W57" s="110"/>
      <c r="X57" s="107"/>
      <c r="Y57" s="106"/>
      <c r="Z57" s="106"/>
    </row>
    <row r="58" spans="6:26" s="112" customFormat="1" ht="12" outlineLevel="2">
      <c r="F58" s="104">
        <v>44</v>
      </c>
      <c r="G58" s="105"/>
      <c r="H58" s="106"/>
      <c r="I58" s="106"/>
      <c r="J58" s="107" t="s">
        <v>203</v>
      </c>
      <c r="K58" s="105" t="s">
        <v>15</v>
      </c>
      <c r="L58" s="108">
        <v>1</v>
      </c>
      <c r="M58" s="109">
        <v>0</v>
      </c>
      <c r="N58" s="108">
        <f t="shared" si="5"/>
        <v>1</v>
      </c>
      <c r="O58" s="113"/>
      <c r="P58" s="110">
        <f t="shared" si="6"/>
        <v>0</v>
      </c>
      <c r="Q58" s="111"/>
      <c r="R58" s="109"/>
      <c r="S58" s="111"/>
      <c r="T58" s="109"/>
      <c r="U58" s="110"/>
      <c r="V58" s="110"/>
      <c r="W58" s="110"/>
      <c r="X58" s="107"/>
      <c r="Y58" s="106"/>
      <c r="Z58" s="106"/>
    </row>
    <row r="59" spans="6:26" s="112" customFormat="1" ht="12" outlineLevel="2">
      <c r="F59" s="104">
        <v>45</v>
      </c>
      <c r="G59" s="105"/>
      <c r="H59" s="106"/>
      <c r="I59" s="106"/>
      <c r="J59" s="107" t="s">
        <v>204</v>
      </c>
      <c r="K59" s="105" t="s">
        <v>15</v>
      </c>
      <c r="L59" s="108">
        <v>2</v>
      </c>
      <c r="M59" s="109">
        <v>0</v>
      </c>
      <c r="N59" s="108">
        <f t="shared" si="5"/>
        <v>2</v>
      </c>
      <c r="O59" s="113"/>
      <c r="P59" s="110">
        <f t="shared" si="6"/>
        <v>0</v>
      </c>
      <c r="Q59" s="111"/>
      <c r="R59" s="109"/>
      <c r="S59" s="111"/>
      <c r="T59" s="109"/>
      <c r="U59" s="110"/>
      <c r="V59" s="110"/>
      <c r="W59" s="110"/>
      <c r="X59" s="107"/>
      <c r="Y59" s="106"/>
      <c r="Z59" s="106"/>
    </row>
    <row r="60" spans="6:26" s="112" customFormat="1" ht="12" outlineLevel="2">
      <c r="F60" s="104">
        <v>46</v>
      </c>
      <c r="G60" s="105"/>
      <c r="H60" s="106"/>
      <c r="I60" s="106"/>
      <c r="J60" s="107" t="s">
        <v>205</v>
      </c>
      <c r="K60" s="105" t="s">
        <v>15</v>
      </c>
      <c r="L60" s="108">
        <v>2</v>
      </c>
      <c r="M60" s="109">
        <v>0</v>
      </c>
      <c r="N60" s="108">
        <f t="shared" si="5"/>
        <v>2</v>
      </c>
      <c r="O60" s="113"/>
      <c r="P60" s="110">
        <f t="shared" si="6"/>
        <v>0</v>
      </c>
      <c r="Q60" s="111"/>
      <c r="R60" s="109"/>
      <c r="S60" s="111"/>
      <c r="T60" s="109"/>
      <c r="U60" s="110"/>
      <c r="V60" s="110"/>
      <c r="W60" s="110"/>
      <c r="X60" s="107"/>
      <c r="Y60" s="106"/>
      <c r="Z60" s="106"/>
    </row>
    <row r="61" spans="6:26" s="112" customFormat="1" ht="12" outlineLevel="2">
      <c r="F61" s="104">
        <v>47</v>
      </c>
      <c r="G61" s="105"/>
      <c r="H61" s="106"/>
      <c r="I61" s="106"/>
      <c r="J61" s="107" t="s">
        <v>206</v>
      </c>
      <c r="K61" s="105" t="s">
        <v>15</v>
      </c>
      <c r="L61" s="108">
        <v>1</v>
      </c>
      <c r="M61" s="109">
        <v>0</v>
      </c>
      <c r="N61" s="108">
        <f>L61*(1+M61/100)</f>
        <v>1</v>
      </c>
      <c r="O61" s="113"/>
      <c r="P61" s="110">
        <f t="shared" si="6"/>
        <v>0</v>
      </c>
      <c r="Q61" s="111"/>
      <c r="R61" s="109"/>
      <c r="S61" s="111"/>
      <c r="T61" s="109"/>
      <c r="U61" s="110"/>
      <c r="V61" s="110"/>
      <c r="W61" s="110"/>
      <c r="X61" s="107"/>
      <c r="Y61" s="106"/>
      <c r="Z61" s="106"/>
    </row>
    <row r="62" spans="6:26" s="112" customFormat="1" ht="12" outlineLevel="2">
      <c r="F62" s="104">
        <v>48</v>
      </c>
      <c r="G62" s="105"/>
      <c r="H62" s="106" t="s">
        <v>207</v>
      </c>
      <c r="I62" s="106"/>
      <c r="J62" s="107" t="s">
        <v>208</v>
      </c>
      <c r="K62" s="105" t="s">
        <v>15</v>
      </c>
      <c r="L62" s="108">
        <v>1</v>
      </c>
      <c r="M62" s="109">
        <v>0</v>
      </c>
      <c r="N62" s="108">
        <f t="shared" si="5"/>
        <v>1</v>
      </c>
      <c r="O62" s="113"/>
      <c r="P62" s="110">
        <f t="shared" si="6"/>
        <v>0</v>
      </c>
      <c r="Q62" s="111"/>
      <c r="R62" s="109"/>
      <c r="S62" s="111"/>
      <c r="T62" s="109"/>
      <c r="U62" s="110"/>
      <c r="V62" s="110"/>
      <c r="W62" s="110"/>
      <c r="X62" s="107"/>
      <c r="Y62" s="106"/>
      <c r="Z62" s="106"/>
    </row>
    <row r="63" spans="6:26" s="123" customFormat="1" ht="12.75" customHeight="1" outlineLevel="2">
      <c r="F63" s="115"/>
      <c r="G63" s="116"/>
      <c r="H63" s="116"/>
      <c r="I63" s="116"/>
      <c r="J63" s="117"/>
      <c r="K63" s="116"/>
      <c r="L63" s="118"/>
      <c r="M63" s="119"/>
      <c r="N63" s="118"/>
      <c r="O63" s="119"/>
      <c r="P63" s="120"/>
      <c r="Q63" s="121"/>
      <c r="R63" s="119"/>
      <c r="S63" s="119"/>
      <c r="T63" s="119"/>
      <c r="U63" s="122" t="s">
        <v>1</v>
      </c>
      <c r="V63" s="119"/>
      <c r="W63" s="119"/>
      <c r="X63" s="119"/>
      <c r="Y63" s="116"/>
      <c r="Z63" s="116"/>
    </row>
    <row r="64" spans="6:26" s="103" customFormat="1" ht="16.5" customHeight="1" outlineLevel="1">
      <c r="F64" s="95"/>
      <c r="G64" s="80"/>
      <c r="H64" s="96"/>
      <c r="I64" s="96"/>
      <c r="J64" s="96" t="s">
        <v>61</v>
      </c>
      <c r="K64" s="80"/>
      <c r="L64" s="97"/>
      <c r="M64" s="98"/>
      <c r="N64" s="97"/>
      <c r="O64" s="98"/>
      <c r="P64" s="99">
        <f>SUBTOTAL(9,P65:P82)</f>
        <v>0</v>
      </c>
      <c r="Q64" s="100"/>
      <c r="R64" s="101"/>
      <c r="S64" s="98"/>
      <c r="T64" s="101">
        <f>SUBTOTAL(9,T65:T81)</f>
        <v>0</v>
      </c>
      <c r="U64" s="102" t="s">
        <v>1</v>
      </c>
      <c r="V64" s="99">
        <f>SUBTOTAL(9,V65:V81)</f>
        <v>0</v>
      </c>
      <c r="W64" s="99">
        <f>SUBTOTAL(9,W65:W81)</f>
        <v>0</v>
      </c>
      <c r="Y64" s="81"/>
      <c r="Z64" s="81"/>
    </row>
    <row r="65" spans="6:26" s="112" customFormat="1" ht="12" outlineLevel="2">
      <c r="F65" s="104">
        <v>49</v>
      </c>
      <c r="G65" s="105" t="s">
        <v>0</v>
      </c>
      <c r="H65" s="106" t="s">
        <v>85</v>
      </c>
      <c r="I65" s="106"/>
      <c r="J65" s="107" t="s">
        <v>209</v>
      </c>
      <c r="K65" s="105" t="s">
        <v>2</v>
      </c>
      <c r="L65" s="108">
        <v>109</v>
      </c>
      <c r="M65" s="109">
        <v>0</v>
      </c>
      <c r="N65" s="108">
        <f aca="true" t="shared" si="10" ref="N65:N81">L65*(1+M65/100)</f>
        <v>109</v>
      </c>
      <c r="O65" s="113"/>
      <c r="P65" s="110">
        <f aca="true" t="shared" si="11" ref="P65:P82">N65*O65</f>
        <v>0</v>
      </c>
      <c r="Q65" s="111">
        <v>0.0546</v>
      </c>
      <c r="R65" s="109"/>
      <c r="S65" s="111"/>
      <c r="T65" s="109">
        <f aca="true" t="shared" si="12" ref="T65:T75">N65*S65</f>
        <v>0</v>
      </c>
      <c r="U65" s="110">
        <v>21</v>
      </c>
      <c r="V65" s="110">
        <f aca="true" t="shared" si="13" ref="V65:V75">P65*(U65/100)</f>
        <v>0</v>
      </c>
      <c r="W65" s="110">
        <f aca="true" t="shared" si="14" ref="W65:W75">P65+V65</f>
        <v>0</v>
      </c>
      <c r="X65" s="107"/>
      <c r="Y65" s="106" t="s">
        <v>21</v>
      </c>
      <c r="Z65" s="106" t="s">
        <v>18</v>
      </c>
    </row>
    <row r="66" spans="6:26" s="112" customFormat="1" ht="12" outlineLevel="2">
      <c r="F66" s="104">
        <v>50</v>
      </c>
      <c r="G66" s="105" t="s">
        <v>0</v>
      </c>
      <c r="H66" s="106" t="s">
        <v>86</v>
      </c>
      <c r="I66" s="106"/>
      <c r="J66" s="107" t="s">
        <v>210</v>
      </c>
      <c r="K66" s="105" t="s">
        <v>15</v>
      </c>
      <c r="L66" s="108">
        <v>2</v>
      </c>
      <c r="M66" s="109">
        <v>0</v>
      </c>
      <c r="N66" s="108">
        <f t="shared" si="10"/>
        <v>2</v>
      </c>
      <c r="O66" s="113"/>
      <c r="P66" s="110">
        <f t="shared" si="11"/>
        <v>0</v>
      </c>
      <c r="Q66" s="111">
        <v>0.051</v>
      </c>
      <c r="R66" s="109"/>
      <c r="S66" s="111"/>
      <c r="T66" s="109">
        <f t="shared" si="12"/>
        <v>0</v>
      </c>
      <c r="U66" s="110">
        <v>21</v>
      </c>
      <c r="V66" s="110">
        <f t="shared" si="13"/>
        <v>0</v>
      </c>
      <c r="W66" s="110">
        <f t="shared" si="14"/>
        <v>0</v>
      </c>
      <c r="X66" s="107"/>
      <c r="Y66" s="106" t="s">
        <v>21</v>
      </c>
      <c r="Z66" s="106" t="s">
        <v>18</v>
      </c>
    </row>
    <row r="67" spans="6:26" s="112" customFormat="1" ht="12" outlineLevel="2">
      <c r="F67" s="104">
        <v>51</v>
      </c>
      <c r="G67" s="105" t="s">
        <v>0</v>
      </c>
      <c r="H67" s="106" t="s">
        <v>211</v>
      </c>
      <c r="I67" s="106"/>
      <c r="J67" s="107" t="s">
        <v>212</v>
      </c>
      <c r="K67" s="105" t="s">
        <v>15</v>
      </c>
      <c r="L67" s="108">
        <v>2</v>
      </c>
      <c r="M67" s="109">
        <v>0</v>
      </c>
      <c r="N67" s="108">
        <f t="shared" si="10"/>
        <v>2</v>
      </c>
      <c r="O67" s="113"/>
      <c r="P67" s="110">
        <f t="shared" si="11"/>
        <v>0</v>
      </c>
      <c r="Q67" s="111">
        <v>0.028</v>
      </c>
      <c r="R67" s="109"/>
      <c r="S67" s="111"/>
      <c r="T67" s="109">
        <f t="shared" si="12"/>
        <v>0</v>
      </c>
      <c r="U67" s="110"/>
      <c r="V67" s="110">
        <f t="shared" si="13"/>
        <v>0</v>
      </c>
      <c r="W67" s="110">
        <f t="shared" si="14"/>
        <v>0</v>
      </c>
      <c r="X67" s="107"/>
      <c r="Y67" s="106" t="s">
        <v>21</v>
      </c>
      <c r="Z67" s="106" t="s">
        <v>18</v>
      </c>
    </row>
    <row r="68" spans="6:26" s="112" customFormat="1" ht="12" outlineLevel="2">
      <c r="F68" s="104">
        <v>52</v>
      </c>
      <c r="G68" s="105"/>
      <c r="H68" s="106"/>
      <c r="I68" s="106"/>
      <c r="J68" s="107" t="s">
        <v>213</v>
      </c>
      <c r="K68" s="105" t="s">
        <v>15</v>
      </c>
      <c r="L68" s="108">
        <v>2</v>
      </c>
      <c r="M68" s="109">
        <v>0</v>
      </c>
      <c r="N68" s="108">
        <f t="shared" si="10"/>
        <v>2</v>
      </c>
      <c r="O68" s="113"/>
      <c r="P68" s="110">
        <f t="shared" si="11"/>
        <v>0</v>
      </c>
      <c r="Q68" s="111"/>
      <c r="R68" s="109"/>
      <c r="S68" s="111"/>
      <c r="T68" s="109"/>
      <c r="U68" s="110"/>
      <c r="V68" s="110"/>
      <c r="W68" s="110"/>
      <c r="X68" s="107"/>
      <c r="Y68" s="106"/>
      <c r="Z68" s="106"/>
    </row>
    <row r="69" spans="6:26" s="112" customFormat="1" ht="12" outlineLevel="2">
      <c r="F69" s="104">
        <v>53</v>
      </c>
      <c r="G69" s="105" t="s">
        <v>0</v>
      </c>
      <c r="H69" s="106" t="s">
        <v>214</v>
      </c>
      <c r="I69" s="106"/>
      <c r="J69" s="107" t="s">
        <v>215</v>
      </c>
      <c r="K69" s="105" t="s">
        <v>15</v>
      </c>
      <c r="L69" s="108">
        <v>5</v>
      </c>
      <c r="M69" s="109">
        <v>0</v>
      </c>
      <c r="N69" s="108">
        <f t="shared" si="10"/>
        <v>5</v>
      </c>
      <c r="O69" s="113"/>
      <c r="P69" s="110">
        <f t="shared" si="11"/>
        <v>0</v>
      </c>
      <c r="Q69" s="111">
        <v>0.068</v>
      </c>
      <c r="R69" s="109"/>
      <c r="S69" s="111"/>
      <c r="T69" s="109">
        <f t="shared" si="12"/>
        <v>0</v>
      </c>
      <c r="U69" s="110"/>
      <c r="V69" s="110">
        <f t="shared" si="13"/>
        <v>0</v>
      </c>
      <c r="W69" s="110">
        <f t="shared" si="14"/>
        <v>0</v>
      </c>
      <c r="X69" s="107"/>
      <c r="Y69" s="106" t="s">
        <v>21</v>
      </c>
      <c r="Z69" s="106" t="s">
        <v>18</v>
      </c>
    </row>
    <row r="70" spans="6:26" s="112" customFormat="1" ht="12" outlineLevel="2">
      <c r="F70" s="104">
        <v>54</v>
      </c>
      <c r="G70" s="105" t="s">
        <v>0</v>
      </c>
      <c r="H70" s="106" t="s">
        <v>216</v>
      </c>
      <c r="I70" s="106"/>
      <c r="J70" s="107" t="s">
        <v>217</v>
      </c>
      <c r="K70" s="105" t="s">
        <v>15</v>
      </c>
      <c r="L70" s="108">
        <v>5</v>
      </c>
      <c r="M70" s="109">
        <v>0</v>
      </c>
      <c r="N70" s="108">
        <f t="shared" si="10"/>
        <v>5</v>
      </c>
      <c r="O70" s="113"/>
      <c r="P70" s="110">
        <f t="shared" si="11"/>
        <v>0</v>
      </c>
      <c r="Q70" s="111">
        <v>0.585</v>
      </c>
      <c r="R70" s="109"/>
      <c r="S70" s="111"/>
      <c r="T70" s="109">
        <f t="shared" si="12"/>
        <v>0</v>
      </c>
      <c r="U70" s="110">
        <v>21</v>
      </c>
      <c r="V70" s="110">
        <f t="shared" si="13"/>
        <v>0</v>
      </c>
      <c r="W70" s="110">
        <f t="shared" si="14"/>
        <v>0</v>
      </c>
      <c r="X70" s="107"/>
      <c r="Y70" s="106" t="s">
        <v>21</v>
      </c>
      <c r="Z70" s="106" t="s">
        <v>18</v>
      </c>
    </row>
    <row r="71" spans="6:26" s="112" customFormat="1" ht="12" outlineLevel="2">
      <c r="F71" s="104">
        <v>55</v>
      </c>
      <c r="G71" s="105" t="s">
        <v>0</v>
      </c>
      <c r="H71" s="106" t="s">
        <v>218</v>
      </c>
      <c r="I71" s="106"/>
      <c r="J71" s="107" t="s">
        <v>219</v>
      </c>
      <c r="K71" s="105" t="s">
        <v>15</v>
      </c>
      <c r="L71" s="108">
        <v>3</v>
      </c>
      <c r="M71" s="109">
        <v>0</v>
      </c>
      <c r="N71" s="108">
        <f t="shared" si="10"/>
        <v>3</v>
      </c>
      <c r="O71" s="113"/>
      <c r="P71" s="110">
        <f t="shared" si="11"/>
        <v>0</v>
      </c>
      <c r="Q71" s="111">
        <v>2.1</v>
      </c>
      <c r="R71" s="109"/>
      <c r="S71" s="111"/>
      <c r="T71" s="109">
        <f t="shared" si="12"/>
        <v>0</v>
      </c>
      <c r="U71" s="110">
        <v>21</v>
      </c>
      <c r="V71" s="110">
        <f t="shared" si="13"/>
        <v>0</v>
      </c>
      <c r="W71" s="110">
        <f t="shared" si="14"/>
        <v>0</v>
      </c>
      <c r="X71" s="107"/>
      <c r="Y71" s="106" t="s">
        <v>21</v>
      </c>
      <c r="Z71" s="106" t="s">
        <v>18</v>
      </c>
    </row>
    <row r="72" spans="6:26" s="112" customFormat="1" ht="12" outlineLevel="2">
      <c r="F72" s="104">
        <v>56</v>
      </c>
      <c r="G72" s="105" t="s">
        <v>0</v>
      </c>
      <c r="H72" s="106" t="s">
        <v>220</v>
      </c>
      <c r="I72" s="106"/>
      <c r="J72" s="107" t="s">
        <v>221</v>
      </c>
      <c r="K72" s="105" t="s">
        <v>15</v>
      </c>
      <c r="L72" s="108">
        <v>3</v>
      </c>
      <c r="M72" s="109">
        <v>0</v>
      </c>
      <c r="N72" s="108">
        <f t="shared" si="10"/>
        <v>3</v>
      </c>
      <c r="O72" s="113"/>
      <c r="P72" s="110">
        <f t="shared" si="11"/>
        <v>0</v>
      </c>
      <c r="Q72" s="111">
        <v>1.008</v>
      </c>
      <c r="R72" s="109"/>
      <c r="S72" s="111"/>
      <c r="T72" s="109">
        <f t="shared" si="12"/>
        <v>0</v>
      </c>
      <c r="U72" s="110">
        <v>21</v>
      </c>
      <c r="V72" s="110">
        <f t="shared" si="13"/>
        <v>0</v>
      </c>
      <c r="W72" s="110">
        <f t="shared" si="14"/>
        <v>0</v>
      </c>
      <c r="X72" s="107"/>
      <c r="Y72" s="106" t="s">
        <v>21</v>
      </c>
      <c r="Z72" s="106" t="s">
        <v>18</v>
      </c>
    </row>
    <row r="73" spans="6:26" s="112" customFormat="1" ht="12" outlineLevel="2">
      <c r="F73" s="104">
        <v>57</v>
      </c>
      <c r="G73" s="105" t="s">
        <v>0</v>
      </c>
      <c r="H73" s="106" t="s">
        <v>222</v>
      </c>
      <c r="I73" s="106"/>
      <c r="J73" s="107" t="s">
        <v>223</v>
      </c>
      <c r="K73" s="105" t="s">
        <v>15</v>
      </c>
      <c r="L73" s="108">
        <v>3</v>
      </c>
      <c r="M73" s="109">
        <v>0</v>
      </c>
      <c r="N73" s="108">
        <f t="shared" si="10"/>
        <v>3</v>
      </c>
      <c r="O73" s="113"/>
      <c r="P73" s="110">
        <f t="shared" si="11"/>
        <v>0</v>
      </c>
      <c r="Q73" s="111">
        <v>0.504</v>
      </c>
      <c r="R73" s="109"/>
      <c r="S73" s="111"/>
      <c r="T73" s="109">
        <f t="shared" si="12"/>
        <v>0</v>
      </c>
      <c r="U73" s="110">
        <v>21</v>
      </c>
      <c r="V73" s="110">
        <f t="shared" si="13"/>
        <v>0</v>
      </c>
      <c r="W73" s="110">
        <f t="shared" si="14"/>
        <v>0</v>
      </c>
      <c r="X73" s="107"/>
      <c r="Y73" s="106" t="s">
        <v>21</v>
      </c>
      <c r="Z73" s="106" t="s">
        <v>18</v>
      </c>
    </row>
    <row r="74" spans="6:26" s="112" customFormat="1" ht="12" outlineLevel="2">
      <c r="F74" s="104">
        <v>58</v>
      </c>
      <c r="G74" s="105" t="s">
        <v>0</v>
      </c>
      <c r="H74" s="106" t="s">
        <v>224</v>
      </c>
      <c r="I74" s="106"/>
      <c r="J74" s="107" t="s">
        <v>225</v>
      </c>
      <c r="K74" s="105" t="s">
        <v>15</v>
      </c>
      <c r="L74" s="108">
        <v>2</v>
      </c>
      <c r="M74" s="109">
        <v>0</v>
      </c>
      <c r="N74" s="108">
        <f t="shared" si="10"/>
        <v>2</v>
      </c>
      <c r="O74" s="113"/>
      <c r="P74" s="110">
        <f t="shared" si="11"/>
        <v>0</v>
      </c>
      <c r="Q74" s="111">
        <v>0.252</v>
      </c>
      <c r="R74" s="109"/>
      <c r="S74" s="111"/>
      <c r="T74" s="109">
        <f t="shared" si="12"/>
        <v>0</v>
      </c>
      <c r="U74" s="110">
        <v>21</v>
      </c>
      <c r="V74" s="110">
        <f t="shared" si="13"/>
        <v>0</v>
      </c>
      <c r="W74" s="110">
        <f t="shared" si="14"/>
        <v>0</v>
      </c>
      <c r="X74" s="107"/>
      <c r="Y74" s="106" t="s">
        <v>21</v>
      </c>
      <c r="Z74" s="106" t="s">
        <v>18</v>
      </c>
    </row>
    <row r="75" spans="6:26" s="112" customFormat="1" ht="12" outlineLevel="2">
      <c r="F75" s="104">
        <v>59</v>
      </c>
      <c r="G75" s="105" t="s">
        <v>0</v>
      </c>
      <c r="H75" s="106" t="s">
        <v>226</v>
      </c>
      <c r="I75" s="106"/>
      <c r="J75" s="107" t="s">
        <v>227</v>
      </c>
      <c r="K75" s="105" t="s">
        <v>15</v>
      </c>
      <c r="L75" s="108">
        <v>2</v>
      </c>
      <c r="M75" s="109">
        <v>0</v>
      </c>
      <c r="N75" s="108">
        <f t="shared" si="10"/>
        <v>2</v>
      </c>
      <c r="O75" s="113"/>
      <c r="P75" s="110">
        <f t="shared" si="11"/>
        <v>0</v>
      </c>
      <c r="Q75" s="111"/>
      <c r="R75" s="109"/>
      <c r="S75" s="111"/>
      <c r="T75" s="109">
        <f t="shared" si="12"/>
        <v>0</v>
      </c>
      <c r="U75" s="110">
        <v>21</v>
      </c>
      <c r="V75" s="110">
        <f t="shared" si="13"/>
        <v>0</v>
      </c>
      <c r="W75" s="110">
        <f t="shared" si="14"/>
        <v>0</v>
      </c>
      <c r="X75" s="107"/>
      <c r="Y75" s="106" t="s">
        <v>21</v>
      </c>
      <c r="Z75" s="106" t="s">
        <v>18</v>
      </c>
    </row>
    <row r="76" spans="6:26" s="112" customFormat="1" ht="12" outlineLevel="2">
      <c r="F76" s="104">
        <v>60</v>
      </c>
      <c r="G76" s="105"/>
      <c r="H76" s="106" t="s">
        <v>228</v>
      </c>
      <c r="I76" s="106"/>
      <c r="J76" s="107" t="s">
        <v>229</v>
      </c>
      <c r="K76" s="105" t="s">
        <v>15</v>
      </c>
      <c r="L76" s="108">
        <v>1</v>
      </c>
      <c r="M76" s="109">
        <v>0</v>
      </c>
      <c r="N76" s="108">
        <f t="shared" si="10"/>
        <v>1</v>
      </c>
      <c r="O76" s="113"/>
      <c r="P76" s="110">
        <f t="shared" si="11"/>
        <v>0</v>
      </c>
      <c r="Q76" s="111"/>
      <c r="R76" s="109"/>
      <c r="S76" s="111"/>
      <c r="T76" s="109"/>
      <c r="U76" s="110"/>
      <c r="V76" s="110"/>
      <c r="W76" s="110"/>
      <c r="X76" s="107"/>
      <c r="Y76" s="106"/>
      <c r="Z76" s="106"/>
    </row>
    <row r="77" spans="6:26" s="112" customFormat="1" ht="12" outlineLevel="2">
      <c r="F77" s="104">
        <v>61</v>
      </c>
      <c r="G77" s="105"/>
      <c r="H77" s="106"/>
      <c r="I77" s="106"/>
      <c r="J77" s="107" t="s">
        <v>230</v>
      </c>
      <c r="K77" s="105" t="s">
        <v>15</v>
      </c>
      <c r="L77" s="108">
        <v>1</v>
      </c>
      <c r="M77" s="109">
        <v>0</v>
      </c>
      <c r="N77" s="108">
        <f t="shared" si="10"/>
        <v>1</v>
      </c>
      <c r="O77" s="113"/>
      <c r="P77" s="110">
        <f t="shared" si="11"/>
        <v>0</v>
      </c>
      <c r="Q77" s="111"/>
      <c r="R77" s="109"/>
      <c r="S77" s="111"/>
      <c r="T77" s="109"/>
      <c r="U77" s="110"/>
      <c r="V77" s="110"/>
      <c r="W77" s="110"/>
      <c r="X77" s="107"/>
      <c r="Y77" s="106"/>
      <c r="Z77" s="106"/>
    </row>
    <row r="78" spans="6:26" s="112" customFormat="1" ht="12" outlineLevel="2">
      <c r="F78" s="104">
        <v>62</v>
      </c>
      <c r="G78" s="105"/>
      <c r="H78" s="106"/>
      <c r="I78" s="106"/>
      <c r="J78" s="107" t="s">
        <v>231</v>
      </c>
      <c r="K78" s="105" t="s">
        <v>15</v>
      </c>
      <c r="L78" s="108">
        <v>1</v>
      </c>
      <c r="M78" s="109">
        <v>0</v>
      </c>
      <c r="N78" s="108">
        <f t="shared" si="10"/>
        <v>1</v>
      </c>
      <c r="O78" s="113"/>
      <c r="P78" s="110">
        <f t="shared" si="11"/>
        <v>0</v>
      </c>
      <c r="Q78" s="111"/>
      <c r="R78" s="109"/>
      <c r="S78" s="111"/>
      <c r="T78" s="109"/>
      <c r="U78" s="110"/>
      <c r="V78" s="110"/>
      <c r="W78" s="110"/>
      <c r="X78" s="107"/>
      <c r="Y78" s="106"/>
      <c r="Z78" s="106"/>
    </row>
    <row r="79" spans="6:26" s="112" customFormat="1" ht="12" outlineLevel="2">
      <c r="F79" s="104">
        <v>63</v>
      </c>
      <c r="G79" s="105"/>
      <c r="H79" s="106"/>
      <c r="I79" s="106"/>
      <c r="J79" s="107" t="s">
        <v>232</v>
      </c>
      <c r="K79" s="105" t="s">
        <v>15</v>
      </c>
      <c r="L79" s="108">
        <v>2</v>
      </c>
      <c r="M79" s="109">
        <v>0</v>
      </c>
      <c r="N79" s="108">
        <f t="shared" si="10"/>
        <v>2</v>
      </c>
      <c r="O79" s="113"/>
      <c r="P79" s="110">
        <f t="shared" si="11"/>
        <v>0</v>
      </c>
      <c r="Q79" s="111"/>
      <c r="R79" s="109"/>
      <c r="S79" s="111"/>
      <c r="T79" s="109"/>
      <c r="U79" s="110"/>
      <c r="V79" s="110"/>
      <c r="W79" s="110"/>
      <c r="X79" s="107"/>
      <c r="Y79" s="106"/>
      <c r="Z79" s="106"/>
    </row>
    <row r="80" spans="6:26" s="112" customFormat="1" ht="12" outlineLevel="2">
      <c r="F80" s="104">
        <v>64</v>
      </c>
      <c r="G80" s="105"/>
      <c r="H80" s="106"/>
      <c r="I80" s="106"/>
      <c r="J80" s="107" t="s">
        <v>233</v>
      </c>
      <c r="K80" s="105" t="s">
        <v>15</v>
      </c>
      <c r="L80" s="108">
        <v>2</v>
      </c>
      <c r="M80" s="109">
        <v>0</v>
      </c>
      <c r="N80" s="108">
        <f t="shared" si="10"/>
        <v>2</v>
      </c>
      <c r="O80" s="113"/>
      <c r="P80" s="110">
        <f t="shared" si="11"/>
        <v>0</v>
      </c>
      <c r="Q80" s="111"/>
      <c r="R80" s="109"/>
      <c r="S80" s="111"/>
      <c r="T80" s="109"/>
      <c r="U80" s="110"/>
      <c r="V80" s="110"/>
      <c r="W80" s="110"/>
      <c r="X80" s="107"/>
      <c r="Y80" s="106"/>
      <c r="Z80" s="106"/>
    </row>
    <row r="81" spans="6:26" s="112" customFormat="1" ht="12" outlineLevel="2">
      <c r="F81" s="104">
        <v>65</v>
      </c>
      <c r="G81" s="105"/>
      <c r="H81" s="106"/>
      <c r="I81" s="106"/>
      <c r="J81" s="107" t="s">
        <v>234</v>
      </c>
      <c r="K81" s="105" t="s">
        <v>15</v>
      </c>
      <c r="L81" s="108">
        <v>2</v>
      </c>
      <c r="M81" s="109">
        <v>0</v>
      </c>
      <c r="N81" s="108">
        <f t="shared" si="10"/>
        <v>2</v>
      </c>
      <c r="O81" s="113"/>
      <c r="P81" s="110">
        <f t="shared" si="11"/>
        <v>0</v>
      </c>
      <c r="Q81" s="111"/>
      <c r="R81" s="109"/>
      <c r="S81" s="111"/>
      <c r="T81" s="109"/>
      <c r="U81" s="110"/>
      <c r="V81" s="110"/>
      <c r="W81" s="110"/>
      <c r="X81" s="107"/>
      <c r="Y81" s="106"/>
      <c r="Z81" s="106"/>
    </row>
    <row r="82" spans="6:26" s="112" customFormat="1" ht="24" outlineLevel="2">
      <c r="F82" s="104">
        <v>66</v>
      </c>
      <c r="G82" s="105"/>
      <c r="H82" s="106"/>
      <c r="I82" s="106"/>
      <c r="J82" s="107" t="s">
        <v>235</v>
      </c>
      <c r="K82" s="105" t="s">
        <v>15</v>
      </c>
      <c r="L82" s="108">
        <v>1</v>
      </c>
      <c r="M82" s="113">
        <v>0</v>
      </c>
      <c r="N82" s="108">
        <f>L82*(1+M82/100)</f>
        <v>1</v>
      </c>
      <c r="O82" s="113"/>
      <c r="P82" s="110">
        <f t="shared" si="11"/>
        <v>0</v>
      </c>
      <c r="Q82" s="111"/>
      <c r="R82" s="109"/>
      <c r="S82" s="111"/>
      <c r="T82" s="109"/>
      <c r="U82" s="110"/>
      <c r="V82" s="110"/>
      <c r="W82" s="110"/>
      <c r="X82" s="107"/>
      <c r="Y82" s="106"/>
      <c r="Z82" s="106"/>
    </row>
    <row r="83" spans="6:26" s="123" customFormat="1" ht="12.75" customHeight="1" outlineLevel="2">
      <c r="F83" s="115"/>
      <c r="G83" s="116"/>
      <c r="H83" s="116"/>
      <c r="I83" s="116"/>
      <c r="J83" s="117"/>
      <c r="K83" s="116"/>
      <c r="L83" s="118"/>
      <c r="M83" s="119"/>
      <c r="N83" s="118"/>
      <c r="O83" s="119"/>
      <c r="P83" s="120"/>
      <c r="Q83" s="121"/>
      <c r="R83" s="119"/>
      <c r="S83" s="119"/>
      <c r="T83" s="119"/>
      <c r="U83" s="122" t="s">
        <v>1</v>
      </c>
      <c r="V83" s="119"/>
      <c r="W83" s="119"/>
      <c r="X83" s="119"/>
      <c r="Y83" s="116"/>
      <c r="Z83" s="116"/>
    </row>
    <row r="84" spans="6:26" s="103" customFormat="1" ht="16.5" customHeight="1" outlineLevel="1">
      <c r="F84" s="95"/>
      <c r="G84" s="80"/>
      <c r="H84" s="96"/>
      <c r="I84" s="96"/>
      <c r="J84" s="96" t="s">
        <v>168</v>
      </c>
      <c r="K84" s="80"/>
      <c r="L84" s="97"/>
      <c r="M84" s="98"/>
      <c r="N84" s="97"/>
      <c r="O84" s="98"/>
      <c r="P84" s="99">
        <f>SUBTOTAL(9,P85:P90)</f>
        <v>0</v>
      </c>
      <c r="Q84" s="100"/>
      <c r="R84" s="101"/>
      <c r="S84" s="98"/>
      <c r="T84" s="101">
        <f>SUBTOTAL(9,T85:T90)</f>
        <v>0</v>
      </c>
      <c r="U84" s="102" t="s">
        <v>1</v>
      </c>
      <c r="V84" s="99">
        <f>SUBTOTAL(9,V85:V90)</f>
        <v>0</v>
      </c>
      <c r="W84" s="99">
        <f>SUBTOTAL(9,W85:W90)</f>
        <v>0</v>
      </c>
      <c r="Y84" s="81"/>
      <c r="Z84" s="81"/>
    </row>
    <row r="85" spans="6:26" s="112" customFormat="1" ht="24" outlineLevel="2">
      <c r="F85" s="104">
        <v>67</v>
      </c>
      <c r="G85" s="105"/>
      <c r="H85" s="106"/>
      <c r="I85" s="106"/>
      <c r="J85" s="107" t="s">
        <v>236</v>
      </c>
      <c r="K85" s="105" t="s">
        <v>15</v>
      </c>
      <c r="L85" s="108">
        <v>1</v>
      </c>
      <c r="M85" s="109">
        <v>0</v>
      </c>
      <c r="N85" s="108">
        <f>L85*(1+M85/100)</f>
        <v>1</v>
      </c>
      <c r="O85" s="113"/>
      <c r="P85" s="110">
        <f>N85*O85</f>
        <v>0</v>
      </c>
      <c r="Q85" s="111"/>
      <c r="R85" s="109"/>
      <c r="S85" s="111"/>
      <c r="T85" s="109">
        <f>N85*S85</f>
        <v>0</v>
      </c>
      <c r="U85" s="110">
        <v>21</v>
      </c>
      <c r="V85" s="110">
        <f>P85*(U85/100)</f>
        <v>0</v>
      </c>
      <c r="W85" s="110">
        <f>P85+V85</f>
        <v>0</v>
      </c>
      <c r="X85" s="107"/>
      <c r="Y85" s="106" t="s">
        <v>21</v>
      </c>
      <c r="Z85" s="106" t="s">
        <v>170</v>
      </c>
    </row>
    <row r="86" spans="6:26" s="112" customFormat="1" ht="24" outlineLevel="2">
      <c r="F86" s="104">
        <v>68</v>
      </c>
      <c r="G86" s="105" t="s">
        <v>5</v>
      </c>
      <c r="H86" s="106" t="s">
        <v>171</v>
      </c>
      <c r="I86" s="106"/>
      <c r="J86" s="107" t="s">
        <v>237</v>
      </c>
      <c r="K86" s="105" t="s">
        <v>3</v>
      </c>
      <c r="L86" s="108">
        <v>0.2</v>
      </c>
      <c r="M86" s="109">
        <v>0</v>
      </c>
      <c r="N86" s="108">
        <f>L86*(1+M86/100)</f>
        <v>0.2</v>
      </c>
      <c r="O86" s="113"/>
      <c r="P86" s="110">
        <f>N86*O86</f>
        <v>0</v>
      </c>
      <c r="Q86" s="111"/>
      <c r="R86" s="109"/>
      <c r="S86" s="111"/>
      <c r="T86" s="109">
        <f>N86*S86</f>
        <v>0</v>
      </c>
      <c r="U86" s="110">
        <v>21</v>
      </c>
      <c r="V86" s="110">
        <f>P86*(U86/100)</f>
        <v>0</v>
      </c>
      <c r="W86" s="110">
        <f>P86+V86</f>
        <v>0</v>
      </c>
      <c r="X86" s="107"/>
      <c r="Y86" s="106" t="s">
        <v>21</v>
      </c>
      <c r="Z86" s="106" t="s">
        <v>170</v>
      </c>
    </row>
    <row r="87" spans="6:26" s="112" customFormat="1" ht="24" outlineLevel="2">
      <c r="F87" s="104">
        <v>69</v>
      </c>
      <c r="G87" s="105" t="s">
        <v>5</v>
      </c>
      <c r="H87" s="106" t="s">
        <v>173</v>
      </c>
      <c r="I87" s="106"/>
      <c r="J87" s="107" t="s">
        <v>174</v>
      </c>
      <c r="K87" s="105" t="s">
        <v>3</v>
      </c>
      <c r="L87" s="108">
        <v>0.2</v>
      </c>
      <c r="M87" s="109">
        <v>0</v>
      </c>
      <c r="N87" s="108">
        <f>L87*(1+M87/100)</f>
        <v>0.2</v>
      </c>
      <c r="O87" s="113"/>
      <c r="P87" s="110">
        <f>N87*O87</f>
        <v>0</v>
      </c>
      <c r="Q87" s="111"/>
      <c r="R87" s="109"/>
      <c r="S87" s="111"/>
      <c r="T87" s="109">
        <f>N87*S87</f>
        <v>0</v>
      </c>
      <c r="U87" s="110">
        <v>21</v>
      </c>
      <c r="V87" s="110">
        <f>P87*(U87/100)</f>
        <v>0</v>
      </c>
      <c r="W87" s="110">
        <f>P87+V87</f>
        <v>0</v>
      </c>
      <c r="X87" s="107"/>
      <c r="Y87" s="106" t="s">
        <v>21</v>
      </c>
      <c r="Z87" s="106" t="s">
        <v>170</v>
      </c>
    </row>
    <row r="88" spans="6:26" s="112" customFormat="1" ht="12" outlineLevel="2">
      <c r="F88" s="104">
        <v>70</v>
      </c>
      <c r="G88" s="105" t="s">
        <v>5</v>
      </c>
      <c r="H88" s="106" t="s">
        <v>175</v>
      </c>
      <c r="I88" s="106"/>
      <c r="J88" s="107" t="s">
        <v>176</v>
      </c>
      <c r="K88" s="105" t="s">
        <v>3</v>
      </c>
      <c r="L88" s="108">
        <v>0.2</v>
      </c>
      <c r="M88" s="109">
        <v>0</v>
      </c>
      <c r="N88" s="108">
        <f>L88*(1+M88/100)</f>
        <v>0.2</v>
      </c>
      <c r="O88" s="113"/>
      <c r="P88" s="110">
        <f>N88*O88</f>
        <v>0</v>
      </c>
      <c r="Q88" s="111"/>
      <c r="R88" s="109"/>
      <c r="S88" s="111"/>
      <c r="T88" s="109">
        <f>N88*S88</f>
        <v>0</v>
      </c>
      <c r="U88" s="110">
        <v>21</v>
      </c>
      <c r="V88" s="110">
        <f>P88*(U88/100)</f>
        <v>0</v>
      </c>
      <c r="W88" s="110">
        <f>P88+V88</f>
        <v>0</v>
      </c>
      <c r="X88" s="107"/>
      <c r="Y88" s="106" t="s">
        <v>21</v>
      </c>
      <c r="Z88" s="106" t="s">
        <v>170</v>
      </c>
    </row>
    <row r="89" spans="6:26" s="112" customFormat="1" ht="12" outlineLevel="2">
      <c r="F89" s="104">
        <v>71</v>
      </c>
      <c r="G89" s="105" t="s">
        <v>5</v>
      </c>
      <c r="H89" s="106" t="s">
        <v>177</v>
      </c>
      <c r="I89" s="106"/>
      <c r="J89" s="107" t="s">
        <v>178</v>
      </c>
      <c r="K89" s="105" t="s">
        <v>3</v>
      </c>
      <c r="L89" s="108">
        <v>0.2</v>
      </c>
      <c r="M89" s="109">
        <v>0</v>
      </c>
      <c r="N89" s="108">
        <f>L89*(1+M89/100)</f>
        <v>0.2</v>
      </c>
      <c r="O89" s="113"/>
      <c r="P89" s="110">
        <f>N89*O89</f>
        <v>0</v>
      </c>
      <c r="Q89" s="111"/>
      <c r="R89" s="109"/>
      <c r="S89" s="111"/>
      <c r="T89" s="109">
        <f>N89*S89</f>
        <v>0</v>
      </c>
      <c r="U89" s="110">
        <v>21</v>
      </c>
      <c r="V89" s="110">
        <f>P89*(U89/100)</f>
        <v>0</v>
      </c>
      <c r="W89" s="110">
        <f>P89+V89</f>
        <v>0</v>
      </c>
      <c r="X89" s="107"/>
      <c r="Y89" s="106" t="s">
        <v>21</v>
      </c>
      <c r="Z89" s="106" t="s">
        <v>170</v>
      </c>
    </row>
    <row r="90" spans="6:26" s="123" customFormat="1" ht="12.75" customHeight="1" outlineLevel="2">
      <c r="F90" s="115"/>
      <c r="G90" s="116"/>
      <c r="H90" s="116"/>
      <c r="I90" s="116"/>
      <c r="J90" s="117"/>
      <c r="K90" s="116"/>
      <c r="L90" s="118"/>
      <c r="M90" s="119"/>
      <c r="N90" s="118"/>
      <c r="O90" s="119"/>
      <c r="P90" s="120"/>
      <c r="Q90" s="121"/>
      <c r="R90" s="119"/>
      <c r="S90" s="119"/>
      <c r="T90" s="119"/>
      <c r="U90" s="122" t="s">
        <v>1</v>
      </c>
      <c r="V90" s="119"/>
      <c r="W90" s="119"/>
      <c r="X90" s="119"/>
      <c r="Y90" s="116"/>
      <c r="Z90" s="116"/>
    </row>
    <row r="91" spans="6:26" s="103" customFormat="1" ht="16.5" customHeight="1" outlineLevel="1">
      <c r="F91" s="95"/>
      <c r="G91" s="80"/>
      <c r="H91" s="96"/>
      <c r="I91" s="96"/>
      <c r="J91" s="96" t="s">
        <v>63</v>
      </c>
      <c r="K91" s="80"/>
      <c r="L91" s="97"/>
      <c r="M91" s="98"/>
      <c r="N91" s="97"/>
      <c r="O91" s="98"/>
      <c r="P91" s="99">
        <f>SUBTOTAL(9,P92:P93)</f>
        <v>0</v>
      </c>
      <c r="Q91" s="100"/>
      <c r="R91" s="101"/>
      <c r="S91" s="98"/>
      <c r="T91" s="101">
        <f>SUBTOTAL(9,T92:T93)</f>
        <v>0</v>
      </c>
      <c r="U91" s="102" t="s">
        <v>1</v>
      </c>
      <c r="V91" s="99">
        <f>SUBTOTAL(9,V92:V93)</f>
        <v>0</v>
      </c>
      <c r="W91" s="99">
        <f>SUBTOTAL(9,W92:W93)</f>
        <v>0</v>
      </c>
      <c r="Y91" s="81"/>
      <c r="Z91" s="81"/>
    </row>
    <row r="92" spans="6:26" s="112" customFormat="1" ht="12" outlineLevel="2">
      <c r="F92" s="104">
        <v>72</v>
      </c>
      <c r="G92" s="105" t="s">
        <v>5</v>
      </c>
      <c r="H92" s="106" t="s">
        <v>48</v>
      </c>
      <c r="I92" s="106"/>
      <c r="J92" s="107" t="s">
        <v>82</v>
      </c>
      <c r="K92" s="105" t="s">
        <v>3</v>
      </c>
      <c r="L92" s="108">
        <v>5</v>
      </c>
      <c r="M92" s="109">
        <v>0</v>
      </c>
      <c r="N92" s="108">
        <f>L92*(1+M92/100)</f>
        <v>5</v>
      </c>
      <c r="O92" s="113"/>
      <c r="P92" s="110">
        <f>N92*O92</f>
        <v>0</v>
      </c>
      <c r="Q92" s="111"/>
      <c r="R92" s="109"/>
      <c r="S92" s="111"/>
      <c r="T92" s="109">
        <f>N92*S92</f>
        <v>0</v>
      </c>
      <c r="U92" s="110">
        <v>21</v>
      </c>
      <c r="V92" s="110">
        <f>P92*(U92/100)</f>
        <v>0</v>
      </c>
      <c r="W92" s="110">
        <f>P92+V92</f>
        <v>0</v>
      </c>
      <c r="X92" s="107"/>
      <c r="Y92" s="106" t="s">
        <v>21</v>
      </c>
      <c r="Z92" s="106" t="s">
        <v>11</v>
      </c>
    </row>
    <row r="93" spans="6:26" s="123" customFormat="1" ht="12.75" customHeight="1" outlineLevel="2">
      <c r="F93" s="115"/>
      <c r="G93" s="116"/>
      <c r="H93" s="116"/>
      <c r="I93" s="116"/>
      <c r="J93" s="117"/>
      <c r="K93" s="116"/>
      <c r="L93" s="118"/>
      <c r="M93" s="119"/>
      <c r="N93" s="118"/>
      <c r="O93" s="119"/>
      <c r="P93" s="120"/>
      <c r="Q93" s="121"/>
      <c r="R93" s="119"/>
      <c r="S93" s="119"/>
      <c r="T93" s="119"/>
      <c r="U93" s="122" t="s">
        <v>1</v>
      </c>
      <c r="V93" s="119"/>
      <c r="W93" s="119"/>
      <c r="X93" s="119"/>
      <c r="Y93" s="116"/>
      <c r="Z93" s="116"/>
    </row>
  </sheetData>
  <sheetProtection/>
  <printOptions/>
  <pageMargins left="0.3937007874015748" right="0.3937007874015748" top="0.5905511811023623" bottom="0.5905511811023623" header="0.3937007874015748" footer="0.3937007874015748"/>
  <pageSetup fitToHeight="9999" horizontalDpi="300" verticalDpi="300" orientation="landscape" paperSize="9" scale="90" r:id="rId1"/>
  <headerFooter alignWithMargins="0">
    <oddFooter>&amp;L&amp;8www.euroCALC.cz&amp;C&amp;8&amp;P z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Pavel Hnilička</cp:lastModifiedBy>
  <cp:lastPrinted>2008-10-14T10:44:21Z</cp:lastPrinted>
  <dcterms:created xsi:type="dcterms:W3CDTF">2007-10-16T11:08:58Z</dcterms:created>
  <dcterms:modified xsi:type="dcterms:W3CDTF">2021-01-12T12:11:20Z</dcterms:modified>
  <cp:category/>
  <cp:version/>
  <cp:contentType/>
  <cp:contentStatus/>
</cp:coreProperties>
</file>