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1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Krycí list rozpočtu" sheetId="5" r:id="rId5"/>
    <sheet name="Vedlejší rozpočtové náklady" sheetId="6" r:id="rId6"/>
  </sheets>
  <definedNames/>
  <calcPr fullCalcOnLoad="1"/>
</workbook>
</file>

<file path=xl/sharedStrings.xml><?xml version="1.0" encoding="utf-8"?>
<sst xmlns="http://schemas.openxmlformats.org/spreadsheetml/2006/main" count="874" uniqueCount="345">
  <si>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</si>
  <si>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</si>
  <si>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</si>
  <si>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</si>
  <si>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</si>
  <si>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</si>
  <si>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</si>
  <si>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</si>
  <si>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</si>
  <si>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</si>
  <si>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</si>
  <si>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</si>
  <si>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</si>
  <si>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</si>
  <si>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</si>
  <si>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</si>
  <si>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</si>
  <si>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</si>
  <si>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</si>
  <si>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</si>
  <si>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</si>
  <si>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</si>
  <si>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</si>
  <si>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</si>
  <si>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</si>
  <si>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</si>
  <si>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</si>
  <si>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</si>
  <si>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</si>
  <si>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</si>
  <si>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</si>
  <si>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</si>
  <si>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</si>
  <si>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</si>
  <si>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</si>
  <si>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</si>
  <si>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</si>
  <si>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</si>
  <si>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</si>
  <si>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</si>
  <si>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</si>
  <si>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</si>
  <si>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</si>
  <si>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</si>
  <si>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</si>
  <si>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</si>
  <si>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</si>
  <si>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</si>
  <si>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</si>
  <si>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</si>
  <si>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</si>
  <si>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</si>
  <si>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</si>
  <si>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</si>
  <si>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</si>
  <si>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</si>
  <si>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</si>
  <si>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</si>
  <si>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</si>
  <si>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</si>
  <si>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</si>
  <si>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Poznámka:</t>
  </si>
  <si>
    <t>Objekt</t>
  </si>
  <si>
    <t>Kód</t>
  </si>
  <si>
    <t>721</t>
  </si>
  <si>
    <t>721171109RM3</t>
  </si>
  <si>
    <t>721171107RM3</t>
  </si>
  <si>
    <t>721111112VD</t>
  </si>
  <si>
    <t>721111114VD</t>
  </si>
  <si>
    <t>721290111R00</t>
  </si>
  <si>
    <t>721117334VD</t>
  </si>
  <si>
    <t>998721101R00</t>
  </si>
  <si>
    <t>722</t>
  </si>
  <si>
    <t>722172311R00</t>
  </si>
  <si>
    <t>722172312R00</t>
  </si>
  <si>
    <t>722172313R00</t>
  </si>
  <si>
    <t>722172314R00</t>
  </si>
  <si>
    <t>722172315R00</t>
  </si>
  <si>
    <t>722172331R00</t>
  </si>
  <si>
    <t>722172332R00</t>
  </si>
  <si>
    <t>722172333R00</t>
  </si>
  <si>
    <t>722172334R00</t>
  </si>
  <si>
    <t>722172335R00</t>
  </si>
  <si>
    <t>722182021R00</t>
  </si>
  <si>
    <t>722182004R00</t>
  </si>
  <si>
    <t>722182006R00</t>
  </si>
  <si>
    <t>722290234R00</t>
  </si>
  <si>
    <t>722290215R00</t>
  </si>
  <si>
    <t>722111122VD</t>
  </si>
  <si>
    <t>722236313R00</t>
  </si>
  <si>
    <t>722236311R00</t>
  </si>
  <si>
    <t>998722101R00</t>
  </si>
  <si>
    <t>725</t>
  </si>
  <si>
    <t>725820801R00</t>
  </si>
  <si>
    <t>725319101R00</t>
  </si>
  <si>
    <t>725200030RA0</t>
  </si>
  <si>
    <t>725823111RT2</t>
  </si>
  <si>
    <t>725823815RT1</t>
  </si>
  <si>
    <t>725845111RT1</t>
  </si>
  <si>
    <t>725111120VD</t>
  </si>
  <si>
    <t>725111121VD</t>
  </si>
  <si>
    <t>725111122VD</t>
  </si>
  <si>
    <t>725111123VD</t>
  </si>
  <si>
    <t>998725101R00</t>
  </si>
  <si>
    <t>894VD</t>
  </si>
  <si>
    <t>894000004VD</t>
  </si>
  <si>
    <t>894000007VD</t>
  </si>
  <si>
    <t>894000008VD</t>
  </si>
  <si>
    <t>894000009VD</t>
  </si>
  <si>
    <t>894000010VD</t>
  </si>
  <si>
    <t>979</t>
  </si>
  <si>
    <t>979000011VD</t>
  </si>
  <si>
    <t>28377100</t>
  </si>
  <si>
    <t>283771002</t>
  </si>
  <si>
    <t>283771008</t>
  </si>
  <si>
    <t>283771120</t>
  </si>
  <si>
    <t>283771142</t>
  </si>
  <si>
    <t>55231346</t>
  </si>
  <si>
    <t>64217420</t>
  </si>
  <si>
    <t>28653022.A</t>
  </si>
  <si>
    <t>28653032.A</t>
  </si>
  <si>
    <t>POLIKLINIKA LITVÍNOV - ODDĚLENÍ REHABILITACE A LÉČBY</t>
  </si>
  <si>
    <t>D.1.4.1. ZDRAVOTNĚ TECHNICKÉ INSTALACE</t>
  </si>
  <si>
    <t>Litvínov, ul. Žižkova čp. 151</t>
  </si>
  <si>
    <t>Zkrácený popis / Varianta</t>
  </si>
  <si>
    <t>Rozměry</t>
  </si>
  <si>
    <t>Vnitřní kanalizace</t>
  </si>
  <si>
    <t>Potrubí z plastu odpadní 110 vč. materiálu a kolen</t>
  </si>
  <si>
    <t>Potrubí z plastu odpadní 75 vč. materiálu a kolen</t>
  </si>
  <si>
    <t>Koleno kanalizační redukční vč. montáže a dodávky</t>
  </si>
  <si>
    <t>Ventil přivzdušňovací DN 75</t>
  </si>
  <si>
    <t>Zkouška těsnosti kanalizace vodou DN 125</t>
  </si>
  <si>
    <t>Osazení vpusti</t>
  </si>
  <si>
    <t>Přesun hmot pro vnitřní kanalizaci, výšky do 6 m</t>
  </si>
  <si>
    <t>Vnitřní vodovod</t>
  </si>
  <si>
    <t>Potrubí z PPR,studená, 15</t>
  </si>
  <si>
    <t>Potrubí z PPR,studená, 20</t>
  </si>
  <si>
    <t>Potrubí z PPR,studená, 25</t>
  </si>
  <si>
    <t>Potrubí z PPR,studená, 32</t>
  </si>
  <si>
    <t>Potrubí z PPR,studená, 40</t>
  </si>
  <si>
    <t>Potrubí z PPR,studená, 50</t>
  </si>
  <si>
    <t>Potrubí z PPR teplá 15</t>
  </si>
  <si>
    <t>Potrubí z PPR teplá 20</t>
  </si>
  <si>
    <t>Potrubí z PPR, teplá, 25</t>
  </si>
  <si>
    <t>Potrubí z PPR, teplá, 32</t>
  </si>
  <si>
    <t>Potrubí z PPR, teplá, 40</t>
  </si>
  <si>
    <t>Potrubí z PPR, teplá, 50</t>
  </si>
  <si>
    <t>Montáž izolačních skruží na potrubí přímé DN 25</t>
  </si>
  <si>
    <t>Montáž izolačních skruží na potrubí přímé DN 40</t>
  </si>
  <si>
    <t>Montáž izolačních skruží na potrubí přímé DN 80</t>
  </si>
  <si>
    <t>Proplach a dezinfekce vodovod.potrubí DN 80</t>
  </si>
  <si>
    <t>Zkouška tlaku potrubí přírub.nebo hrdlového DN 100</t>
  </si>
  <si>
    <t>Vodoměr</t>
  </si>
  <si>
    <t>Ventil uzavírací 25</t>
  </si>
  <si>
    <t>Ventil uzavírací 15</t>
  </si>
  <si>
    <t>Přesun hmot pro vnitřní vodovod, výšky do 6 m</t>
  </si>
  <si>
    <t>Zařizovací předměty</t>
  </si>
  <si>
    <t>Demontáž baterie nástěnné</t>
  </si>
  <si>
    <t>Montáž dřezů</t>
  </si>
  <si>
    <t>Montáž zařizovacích předmětů - umyvadlo</t>
  </si>
  <si>
    <t>Baterie umyvadlová stojánková</t>
  </si>
  <si>
    <t>Baterie dřezová</t>
  </si>
  <si>
    <t>Baterie sprchová nástěnná</t>
  </si>
  <si>
    <t>Masážní vana BTL-3000 KAPPA</t>
  </si>
  <si>
    <t>Masážní vana BTL-3000 LITEA</t>
  </si>
  <si>
    <t>Masážní vana pro horní končetiny BTL-3000 CORNEA</t>
  </si>
  <si>
    <t>Masážní vana pro dolní končetiny BTL-3000 TENEA</t>
  </si>
  <si>
    <t>Přesun hmot pro zařizovací předměty, výšky do 6 m</t>
  </si>
  <si>
    <t>Bouací práce</t>
  </si>
  <si>
    <t>Vybourání vpusti a příprava pro napojení nových vpustí</t>
  </si>
  <si>
    <t>Demontáž panelu pro střiky včetně odpojení od přívodu vody</t>
  </si>
  <si>
    <t>Demontáž sedacích van včetně odpojení od přívodů</t>
  </si>
  <si>
    <t>Demontáž lehacích van včetně odpojení od přívodů</t>
  </si>
  <si>
    <t>Demontáž přívodu tlakového vzduchu, zaslepení potrubí</t>
  </si>
  <si>
    <t>Doprava a úprava vybouraných hmot</t>
  </si>
  <si>
    <t>Nakládání, odvoz a uskladnění vybouraných hmot</t>
  </si>
  <si>
    <t>Ostatní materiál</t>
  </si>
  <si>
    <t>Izolace potrubí 20</t>
  </si>
  <si>
    <t>Izolace potrubí 25</t>
  </si>
  <si>
    <t>Izolace potrubí 32</t>
  </si>
  <si>
    <t>Izolace potrubí 40</t>
  </si>
  <si>
    <t>Izolace potrubí 50</t>
  </si>
  <si>
    <t>Dřez</t>
  </si>
  <si>
    <t>Umyvadlo</t>
  </si>
  <si>
    <t>Vpusť podlahová d 50 mm</t>
  </si>
  <si>
    <t>Vpusť podlahová d 100 mm</t>
  </si>
  <si>
    <t>Doba výstavby:</t>
  </si>
  <si>
    <t>Začátek výstavby:</t>
  </si>
  <si>
    <t>Konec výstavby:</t>
  </si>
  <si>
    <t>Zpracováno dne:</t>
  </si>
  <si>
    <t>M.j.</t>
  </si>
  <si>
    <t>m</t>
  </si>
  <si>
    <t>kus</t>
  </si>
  <si>
    <t>t</t>
  </si>
  <si>
    <t>soubor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</si>
  <si>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</si>
  <si>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</si>
  <si>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</si>
  <si>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</si>
  <si>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</si>
  <si>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</si>
  <si>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</si>
  <si>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</si>
  <si>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</si>
  <si>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</si>
  <si>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</si>
  <si>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Krušnohorská poliklinika Litvínov</t>
  </si>
  <si>
    <t>SDP LITVÍNOV, spol. s r.o.</t>
  </si>
  <si>
    <t>dle výběrového řízení</t>
  </si>
  <si>
    <t>Kamila Možná</t>
  </si>
  <si>
    <t>Celkem</t>
  </si>
  <si>
    <t>Hmotnost (t)</t>
  </si>
  <si>
    <t>Cenová</t>
  </si>
  <si>
    <t>soustava</t>
  </si>
  <si>
    <t>RTS I / 2013</t>
  </si>
  <si>
    <t>RTS II / 2013</t>
  </si>
  <si>
    <t>0</t>
  </si>
  <si>
    <t>Přesuny</t>
  </si>
  <si>
    <t>Typ skupiny</t>
  </si>
  <si>
    <t>PS</t>
  </si>
  <si>
    <t>HS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</si>
  <si>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</si>
  <si>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</si>
  <si>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</si>
  <si>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</si>
  <si>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</si>
  <si>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</si>
  <si>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</si>
  <si>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</si>
  <si>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</si>
  <si>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</si>
  <si>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</si>
  <si>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</si>
  <si>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</si>
  <si>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</si>
  <si>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</si>
  <si>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</si>
  <si>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0,5;nový stav;</t>
  </si>
  <si>
    <t>1,5;nový stav;</t>
  </si>
  <si>
    <t>1;nový stav;</t>
  </si>
  <si>
    <t>0,5+1,5;viz potrubí;</t>
  </si>
  <si>
    <t>2+3;nový stav;</t>
  </si>
  <si>
    <t>1;svislá;</t>
  </si>
  <si>
    <t>0,84+1,6+0,62+0,65+1,9+0,41+0,75;vodorovné;</t>
  </si>
  <si>
    <t>1,5*1,5;svislé;</t>
  </si>
  <si>
    <t>1+1+1;svislé;</t>
  </si>
  <si>
    <t>3,2+0,8;vodorovné;</t>
  </si>
  <si>
    <t>1+2,8+1,34;vodorovné;</t>
  </si>
  <si>
    <t>1,2+0,65+0,6;vodorovné;</t>
  </si>
  <si>
    <t>2;svislé;</t>
  </si>
  <si>
    <t>1;svislé;</t>
  </si>
  <si>
    <t>9,02;viz studená voda;</t>
  </si>
  <si>
    <t>3;viz studená voda;</t>
  </si>
  <si>
    <t>4;viz studená voda;</t>
  </si>
  <si>
    <t>5,14;viz studená voda;</t>
  </si>
  <si>
    <t>4,45;viz studená voda;</t>
  </si>
  <si>
    <t>1+9,02+3;studená voda;</t>
  </si>
  <si>
    <t>13,02;teplá voda;</t>
  </si>
  <si>
    <t>4+5,14;viz studená voda;</t>
  </si>
  <si>
    <t>9,14;teplá voda;</t>
  </si>
  <si>
    <t>4,45;studená voda;</t>
  </si>
  <si>
    <t>4,45;teplá voda;</t>
  </si>
  <si>
    <t>1+9,02+3+4+5,14+4,45;studená voda;</t>
  </si>
  <si>
    <t>26,61;teplá voda;</t>
  </si>
  <si>
    <t>53,22;viz proplach;</t>
  </si>
  <si>
    <t>1+1+1+1;nový stav;</t>
  </si>
  <si>
    <t>3+3;nový stav;</t>
  </si>
  <si>
    <t>1+1;nový stav;</t>
  </si>
  <si>
    <t>2;ZT3;</t>
  </si>
  <si>
    <t>2;nový stav;</t>
  </si>
  <si>
    <t>4;ZT1;</t>
  </si>
  <si>
    <t>1;ZT2;</t>
  </si>
  <si>
    <t>2;ZT4;</t>
  </si>
  <si>
    <t>2;ZT5;</t>
  </si>
  <si>
    <t>5;ZT6;</t>
  </si>
  <si>
    <t>1;ZT7;</t>
  </si>
  <si>
    <t>1+9,02;studená voda;</t>
  </si>
  <si>
    <t>10,02;teplná voda;</t>
  </si>
  <si>
    <t>3;studená voda;</t>
  </si>
  <si>
    <t>3;teplá voda;</t>
  </si>
  <si>
    <t>4;studená voda;</t>
  </si>
  <si>
    <t>4;teplá voda;</t>
  </si>
  <si>
    <t>5,14;studená voda;</t>
  </si>
  <si>
    <t>5,14;teplá voda;</t>
  </si>
  <si>
    <t>3;nový stav;</t>
  </si>
  <si>
    <t>Cenová soustava</t>
  </si>
  <si>
    <t>Harmonogram</t>
  </si>
  <si>
    <t>Nh</t>
  </si>
  <si>
    <t>Zdroje</t>
  </si>
  <si>
    <t>Trvání</t>
  </si>
  <si>
    <t>Začátek</t>
  </si>
  <si>
    <t>Konec</t>
  </si>
  <si>
    <t>Rozpočet (Kč)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</si>
  <si>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</si>
  <si>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</si>
  <si>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</si>
  <si>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</si>
  <si>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</si>
  <si>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</si>
  <si>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</si>
  <si>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</si>
  <si>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</si>
  <si>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</si>
  <si>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</si>
  <si>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</si>
  <si>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</si>
  <si>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</si>
  <si>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</si>
  <si>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</si>
  <si>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</si>
  <si>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</si>
  <si>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</si>
  <si>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</si>
  <si>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</si>
  <si>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</si>
  <si>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</si>
  <si>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</si>
  <si>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</si>
  <si>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</si>
  <si>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</si>
  <si>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</si>
  <si>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</si>
  <si>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</si>
  <si>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</si>
  <si>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</si>
  <si>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</si>
  <si>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</si>
  <si>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</si>
  <si>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</si>
  <si>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</si>
  <si>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</si>
  <si>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</si>
  <si>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</si>
  <si>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</si>
  <si>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</si>
  <si>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</si>
  <si>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Ostatní rozpočtové náklady stavby ORN</t>
  </si>
  <si>
    <t>Název</t>
  </si>
  <si>
    <t>Kč</t>
  </si>
  <si>
    <t>Vytýčení sítí</t>
  </si>
  <si>
    <t>Geodetické zaměření skutečného provedení</t>
  </si>
  <si>
    <t>Dokumentace skutečného provedení stavby</t>
  </si>
  <si>
    <t>Zkoušky a měření</t>
  </si>
  <si>
    <t>Dopravní opatření</t>
  </si>
  <si>
    <t>Celkem ORN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</si>
</sst>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9" fillId="33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0" fillId="33" borderId="34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1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0" fillId="34" borderId="38" xfId="0" applyFont="1" applyFill="1" applyBorder="1" applyAlignment="1">
      <alignment vertical="center"/>
    </xf>
    <xf numFmtId="0" fontId="1" fillId="34" borderId="39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2" fontId="1" fillId="0" borderId="29" xfId="0" applyNumberFormat="1" applyFont="1" applyBorder="1" applyAlignment="1">
      <alignment vertical="center"/>
    </xf>
    <xf numFmtId="0" fontId="3" fillId="34" borderId="38" xfId="0" applyFont="1" applyFill="1" applyBorder="1" applyAlignment="1">
      <alignment vertical="center"/>
    </xf>
    <xf numFmtId="0" fontId="3" fillId="34" borderId="39" xfId="0" applyFont="1" applyFill="1" applyBorder="1" applyAlignment="1">
      <alignment vertical="center"/>
    </xf>
    <xf numFmtId="2" fontId="3" fillId="34" borderId="34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6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49" fontId="10" fillId="33" borderId="38" xfId="0" applyNumberFormat="1" applyFont="1" applyFill="1" applyBorder="1" applyAlignment="1" applyProtection="1">
      <alignment horizontal="left" vertical="center"/>
      <protection/>
    </xf>
    <xf numFmtId="0" fontId="10" fillId="33" borderId="39" xfId="0" applyNumberFormat="1" applyFont="1" applyFill="1" applyBorder="1" applyAlignment="1" applyProtection="1">
      <alignment horizontal="left" vertical="center"/>
      <protection/>
    </xf>
    <xf numFmtId="49" fontId="11" fillId="0" borderId="49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50" xfId="0" applyNumberFormat="1" applyFont="1" applyFill="1" applyBorder="1" applyAlignment="1" applyProtection="1">
      <alignment horizontal="left" vertical="center"/>
      <protection/>
    </xf>
    <xf numFmtId="49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4"/>
  <sheetViews>
    <sheetView zoomScalePageLayoutView="0"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6.00390625" style="0" customWidth="1"/>
    <col min="5" max="5" width="7.00390625" style="0" customWidth="1"/>
    <col min="6" max="6" width="10.8515625" style="0" customWidth="1"/>
    <col min="7" max="7" width="12.00390625" style="0" customWidth="1"/>
    <col min="8" max="10" width="14.28125" style="0" customWidth="1"/>
    <col min="11" max="13" width="11.7109375" style="0" customWidth="1"/>
    <col min="14" max="37" width="12.140625" style="0" hidden="1" customWidth="1"/>
  </cols>
  <sheetData>
    <row r="1" spans="1:13" ht="21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ht="12.75">
      <c r="A2" s="101" t="s">
        <v>1</v>
      </c>
      <c r="B2" s="102"/>
      <c r="C2" s="102"/>
      <c r="D2" s="103" t="s">
        <v>121</v>
      </c>
      <c r="E2" s="105" t="s">
        <v>186</v>
      </c>
      <c r="F2" s="102"/>
      <c r="G2" s="105"/>
      <c r="H2" s="102"/>
      <c r="I2" s="106" t="s">
        <v>201</v>
      </c>
      <c r="J2" s="106" t="s">
        <v>206</v>
      </c>
      <c r="K2" s="102"/>
      <c r="L2" s="102"/>
      <c r="M2" s="107"/>
      <c r="N2" s="33"/>
    </row>
    <row r="3" spans="1:14" ht="12.75">
      <c r="A3" s="98"/>
      <c r="B3" s="85"/>
      <c r="C3" s="85"/>
      <c r="D3" s="104"/>
      <c r="E3" s="85"/>
      <c r="F3" s="85"/>
      <c r="G3" s="85"/>
      <c r="H3" s="85"/>
      <c r="I3" s="85"/>
      <c r="J3" s="85"/>
      <c r="K3" s="85"/>
      <c r="L3" s="85"/>
      <c r="M3" s="96"/>
      <c r="N3" s="33"/>
    </row>
    <row r="4" spans="1:14" ht="12.75">
      <c r="A4" s="91" t="s">
        <v>2</v>
      </c>
      <c r="B4" s="85"/>
      <c r="C4" s="85"/>
      <c r="D4" s="84" t="s">
        <v>122</v>
      </c>
      <c r="E4" s="94" t="s">
        <v>187</v>
      </c>
      <c r="F4" s="85"/>
      <c r="G4" s="94" t="s">
        <v>6</v>
      </c>
      <c r="H4" s="85"/>
      <c r="I4" s="84" t="s">
        <v>202</v>
      </c>
      <c r="J4" s="84" t="s">
        <v>207</v>
      </c>
      <c r="K4" s="85"/>
      <c r="L4" s="85"/>
      <c r="M4" s="96"/>
      <c r="N4" s="33"/>
    </row>
    <row r="5" spans="1:14" ht="12.75">
      <c r="A5" s="98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96"/>
      <c r="N5" s="33"/>
    </row>
    <row r="6" spans="1:14" ht="12.75">
      <c r="A6" s="91" t="s">
        <v>3</v>
      </c>
      <c r="B6" s="85"/>
      <c r="C6" s="85"/>
      <c r="D6" s="84" t="s">
        <v>123</v>
      </c>
      <c r="E6" s="94" t="s">
        <v>188</v>
      </c>
      <c r="F6" s="85"/>
      <c r="G6" s="85"/>
      <c r="H6" s="85"/>
      <c r="I6" s="84" t="s">
        <v>203</v>
      </c>
      <c r="J6" s="84" t="s">
        <v>208</v>
      </c>
      <c r="K6" s="85"/>
      <c r="L6" s="85"/>
      <c r="M6" s="96"/>
      <c r="N6" s="33"/>
    </row>
    <row r="7" spans="1:14" ht="12.75">
      <c r="A7" s="98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96"/>
      <c r="N7" s="33"/>
    </row>
    <row r="8" spans="1:14" ht="12.75">
      <c r="A8" s="91" t="s">
        <v>4</v>
      </c>
      <c r="B8" s="85"/>
      <c r="C8" s="85"/>
      <c r="D8" s="84"/>
      <c r="E8" s="94" t="s">
        <v>189</v>
      </c>
      <c r="F8" s="85"/>
      <c r="G8" s="95">
        <v>41797</v>
      </c>
      <c r="H8" s="85"/>
      <c r="I8" s="84" t="s">
        <v>204</v>
      </c>
      <c r="J8" s="84" t="s">
        <v>209</v>
      </c>
      <c r="K8" s="85"/>
      <c r="L8" s="85"/>
      <c r="M8" s="96"/>
      <c r="N8" s="33"/>
    </row>
    <row r="9" spans="1:14" ht="12.75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7"/>
      <c r="N9" s="33"/>
    </row>
    <row r="10" spans="1:14" ht="12.75">
      <c r="A10" s="1" t="s">
        <v>5</v>
      </c>
      <c r="B10" s="10" t="s">
        <v>62</v>
      </c>
      <c r="C10" s="10" t="s">
        <v>63</v>
      </c>
      <c r="D10" s="10" t="s">
        <v>124</v>
      </c>
      <c r="E10" s="10" t="s">
        <v>190</v>
      </c>
      <c r="F10" s="16" t="s">
        <v>195</v>
      </c>
      <c r="G10" s="20" t="s">
        <v>196</v>
      </c>
      <c r="H10" s="86" t="s">
        <v>198</v>
      </c>
      <c r="I10" s="87"/>
      <c r="J10" s="88"/>
      <c r="K10" s="86" t="s">
        <v>211</v>
      </c>
      <c r="L10" s="88"/>
      <c r="M10" s="28" t="s">
        <v>212</v>
      </c>
      <c r="N10" s="34"/>
    </row>
    <row r="11" spans="1:24" ht="12.75">
      <c r="A11" s="2" t="s">
        <v>6</v>
      </c>
      <c r="B11" s="11" t="s">
        <v>6</v>
      </c>
      <c r="C11" s="11" t="s">
        <v>6</v>
      </c>
      <c r="D11" s="14" t="s">
        <v>125</v>
      </c>
      <c r="E11" s="11" t="s">
        <v>6</v>
      </c>
      <c r="F11" s="11" t="s">
        <v>6</v>
      </c>
      <c r="G11" s="21" t="s">
        <v>197</v>
      </c>
      <c r="H11" s="23" t="s">
        <v>199</v>
      </c>
      <c r="I11" s="24" t="s">
        <v>205</v>
      </c>
      <c r="J11" s="25" t="s">
        <v>210</v>
      </c>
      <c r="K11" s="23" t="s">
        <v>196</v>
      </c>
      <c r="L11" s="25" t="s">
        <v>210</v>
      </c>
      <c r="M11" s="29" t="s">
        <v>213</v>
      </c>
      <c r="N11" s="34"/>
      <c r="P11" s="27" t="s">
        <v>217</v>
      </c>
      <c r="Q11" s="27" t="s">
        <v>218</v>
      </c>
      <c r="R11" s="27" t="s">
        <v>222</v>
      </c>
      <c r="S11" s="27" t="s">
        <v>223</v>
      </c>
      <c r="T11" s="27" t="s">
        <v>224</v>
      </c>
      <c r="U11" s="27" t="s">
        <v>225</v>
      </c>
      <c r="V11" s="27" t="s">
        <v>226</v>
      </c>
      <c r="W11" s="27" t="s">
        <v>227</v>
      </c>
      <c r="X11" s="27" t="s">
        <v>228</v>
      </c>
    </row>
    <row r="12" spans="1:37" ht="12.75">
      <c r="A12" s="3"/>
      <c r="B12" s="12"/>
      <c r="C12" s="12" t="s">
        <v>64</v>
      </c>
      <c r="D12" s="89" t="s">
        <v>126</v>
      </c>
      <c r="E12" s="90"/>
      <c r="F12" s="90"/>
      <c r="G12" s="90"/>
      <c r="H12" s="36">
        <f>SUM(H13:H19)</f>
        <v>0</v>
      </c>
      <c r="I12" s="36">
        <f>SUM(I13:I19)</f>
        <v>0</v>
      </c>
      <c r="J12" s="36">
        <f>H12+I12</f>
        <v>0</v>
      </c>
      <c r="K12" s="26"/>
      <c r="L12" s="36">
        <f>SUM(L13:L19)</f>
        <v>0.06043</v>
      </c>
      <c r="M12" s="26"/>
      <c r="P12" s="37">
        <f>IF(Q12="PR",J12,SUM(O13:O19))</f>
        <v>0</v>
      </c>
      <c r="Q12" s="27" t="s">
        <v>219</v>
      </c>
      <c r="R12" s="37">
        <f>IF(Q12="HS",H12,0)</f>
        <v>0</v>
      </c>
      <c r="S12" s="37">
        <f>IF(Q12="HS",I12-P12,0)</f>
        <v>0</v>
      </c>
      <c r="T12" s="37">
        <f>IF(Q12="PS",H12,0)</f>
        <v>0</v>
      </c>
      <c r="U12" s="37">
        <f>IF(Q12="PS",I12-P12,0)</f>
        <v>0</v>
      </c>
      <c r="V12" s="37">
        <f>IF(Q12="MP",H12,0)</f>
        <v>0</v>
      </c>
      <c r="W12" s="37">
        <f>IF(Q12="MP",I12-P12,0)</f>
        <v>0</v>
      </c>
      <c r="X12" s="37">
        <f>IF(Q12="OM",H12,0)</f>
        <v>0</v>
      </c>
      <c r="Y12" s="27"/>
      <c r="AI12" s="37">
        <f>SUM(Z13:Z19)</f>
        <v>0</v>
      </c>
      <c r="AJ12" s="37">
        <f>SUM(AA13:AA19)</f>
        <v>0</v>
      </c>
      <c r="AK12" s="37">
        <f>SUM(AB13:AB19)</f>
        <v>0</v>
      </c>
    </row>
    <row r="13" spans="1:32" ht="12.75">
      <c r="A13" s="4" t="s">
        <v>7</v>
      </c>
      <c r="B13" s="4"/>
      <c r="C13" s="4" t="s">
        <v>65</v>
      </c>
      <c r="D13" s="4" t="s">
        <v>127</v>
      </c>
      <c r="E13" s="4" t="s">
        <v>191</v>
      </c>
      <c r="F13" s="17">
        <v>0.5</v>
      </c>
      <c r="H13" s="17">
        <f aca="true" t="shared" si="0" ref="H13:H19">ROUND(F13*AE13,2)</f>
        <v>0</v>
      </c>
      <c r="I13" s="17">
        <f aca="true" t="shared" si="1" ref="I13:I19">J13-H13</f>
        <v>0</v>
      </c>
      <c r="J13" s="17">
        <f aca="true" t="shared" si="2" ref="J13:J19">ROUND(F13*G13,2)</f>
        <v>0</v>
      </c>
      <c r="K13" s="17">
        <v>0.02855</v>
      </c>
      <c r="L13" s="17">
        <f aca="true" t="shared" si="3" ref="L13:L19">F13*K13</f>
        <v>0.014275</v>
      </c>
      <c r="M13" s="30" t="s">
        <v>214</v>
      </c>
      <c r="N13" s="30" t="s">
        <v>7</v>
      </c>
      <c r="O13" s="17">
        <f aca="true" t="shared" si="4" ref="O13:O19">IF(N13="5",I13,0)</f>
        <v>0</v>
      </c>
      <c r="Z13" s="17">
        <f aca="true" t="shared" si="5" ref="Z13:Z19">IF(AD13=0,J13,0)</f>
        <v>0</v>
      </c>
      <c r="AA13" s="17">
        <f aca="true" t="shared" si="6" ref="AA13:AA19">IF(AD13=15,J13,0)</f>
        <v>0</v>
      </c>
      <c r="AB13" s="17">
        <f aca="true" t="shared" si="7" ref="AB13:AB19">IF(AD13=21,J13,0)</f>
        <v>0</v>
      </c>
      <c r="AD13" s="35">
        <v>21</v>
      </c>
      <c r="AE13" s="35">
        <f>G13*0.40716895771707</f>
        <v>0</v>
      </c>
      <c r="AF13" s="35">
        <f>G13*(1-0.40716895771707)</f>
        <v>0</v>
      </c>
    </row>
    <row r="14" spans="1:32" ht="12.75">
      <c r="A14" s="4" t="s">
        <v>8</v>
      </c>
      <c r="B14" s="4"/>
      <c r="C14" s="4" t="s">
        <v>66</v>
      </c>
      <c r="D14" s="4" t="s">
        <v>128</v>
      </c>
      <c r="E14" s="4" t="s">
        <v>191</v>
      </c>
      <c r="F14" s="17">
        <v>1.5</v>
      </c>
      <c r="H14" s="17">
        <f t="shared" si="0"/>
        <v>0</v>
      </c>
      <c r="I14" s="17">
        <f t="shared" si="1"/>
        <v>0</v>
      </c>
      <c r="J14" s="17">
        <f t="shared" si="2"/>
        <v>0</v>
      </c>
      <c r="K14" s="17">
        <v>0.03077</v>
      </c>
      <c r="L14" s="17">
        <f t="shared" si="3"/>
        <v>0.046155</v>
      </c>
      <c r="M14" s="30" t="s">
        <v>214</v>
      </c>
      <c r="N14" s="30" t="s">
        <v>7</v>
      </c>
      <c r="O14" s="17">
        <f t="shared" si="4"/>
        <v>0</v>
      </c>
      <c r="Z14" s="17">
        <f t="shared" si="5"/>
        <v>0</v>
      </c>
      <c r="AA14" s="17">
        <f t="shared" si="6"/>
        <v>0</v>
      </c>
      <c r="AB14" s="17">
        <f t="shared" si="7"/>
        <v>0</v>
      </c>
      <c r="AD14" s="35">
        <v>21</v>
      </c>
      <c r="AE14" s="35">
        <f>G14*0.373015873015873</f>
        <v>0</v>
      </c>
      <c r="AF14" s="35">
        <f>G14*(1-0.373015873015873)</f>
        <v>0</v>
      </c>
    </row>
    <row r="15" spans="1:32" ht="12.75">
      <c r="A15" s="4" t="s">
        <v>9</v>
      </c>
      <c r="B15" s="4"/>
      <c r="C15" s="4" t="s">
        <v>67</v>
      </c>
      <c r="D15" s="4" t="s">
        <v>129</v>
      </c>
      <c r="E15" s="4" t="s">
        <v>192</v>
      </c>
      <c r="F15" s="17">
        <v>1</v>
      </c>
      <c r="H15" s="17">
        <f t="shared" si="0"/>
        <v>0</v>
      </c>
      <c r="I15" s="17">
        <f t="shared" si="1"/>
        <v>0</v>
      </c>
      <c r="J15" s="17">
        <f t="shared" si="2"/>
        <v>0</v>
      </c>
      <c r="K15" s="17">
        <v>0</v>
      </c>
      <c r="L15" s="17">
        <f t="shared" si="3"/>
        <v>0</v>
      </c>
      <c r="M15" s="30"/>
      <c r="N15" s="30" t="s">
        <v>7</v>
      </c>
      <c r="O15" s="17">
        <f t="shared" si="4"/>
        <v>0</v>
      </c>
      <c r="Z15" s="17">
        <f t="shared" si="5"/>
        <v>0</v>
      </c>
      <c r="AA15" s="17">
        <f t="shared" si="6"/>
        <v>0</v>
      </c>
      <c r="AB15" s="17">
        <f t="shared" si="7"/>
        <v>0</v>
      </c>
      <c r="AD15" s="35">
        <v>21</v>
      </c>
      <c r="AE15" s="35">
        <f>G15*0.857142857142857</f>
        <v>0</v>
      </c>
      <c r="AF15" s="35">
        <f>G15*(1-0.857142857142857)</f>
        <v>0</v>
      </c>
    </row>
    <row r="16" spans="1:32" ht="12.75">
      <c r="A16" s="4" t="s">
        <v>10</v>
      </c>
      <c r="B16" s="4"/>
      <c r="C16" s="4" t="s">
        <v>68</v>
      </c>
      <c r="D16" s="4" t="s">
        <v>130</v>
      </c>
      <c r="E16" s="4" t="s">
        <v>192</v>
      </c>
      <c r="F16" s="17">
        <v>1</v>
      </c>
      <c r="H16" s="17">
        <f t="shared" si="0"/>
        <v>0</v>
      </c>
      <c r="I16" s="17">
        <f t="shared" si="1"/>
        <v>0</v>
      </c>
      <c r="J16" s="17">
        <f t="shared" si="2"/>
        <v>0</v>
      </c>
      <c r="K16" s="17">
        <v>0</v>
      </c>
      <c r="L16" s="17">
        <f t="shared" si="3"/>
        <v>0</v>
      </c>
      <c r="M16" s="30"/>
      <c r="N16" s="30" t="s">
        <v>7</v>
      </c>
      <c r="O16" s="17">
        <f t="shared" si="4"/>
        <v>0</v>
      </c>
      <c r="Z16" s="17">
        <f t="shared" si="5"/>
        <v>0</v>
      </c>
      <c r="AA16" s="17">
        <f t="shared" si="6"/>
        <v>0</v>
      </c>
      <c r="AB16" s="17">
        <f t="shared" si="7"/>
        <v>0</v>
      </c>
      <c r="AD16" s="35">
        <v>21</v>
      </c>
      <c r="AE16" s="35">
        <f>G16*0.833333333333333</f>
        <v>0</v>
      </c>
      <c r="AF16" s="35">
        <f>G16*(1-0.833333333333333)</f>
        <v>0</v>
      </c>
    </row>
    <row r="17" spans="1:32" ht="12.75">
      <c r="A17" s="4" t="s">
        <v>11</v>
      </c>
      <c r="B17" s="4"/>
      <c r="C17" s="4" t="s">
        <v>69</v>
      </c>
      <c r="D17" s="4" t="s">
        <v>131</v>
      </c>
      <c r="E17" s="4" t="s">
        <v>191</v>
      </c>
      <c r="F17" s="17">
        <v>2</v>
      </c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v>0</v>
      </c>
      <c r="L17" s="17">
        <f t="shared" si="3"/>
        <v>0</v>
      </c>
      <c r="M17" s="30" t="s">
        <v>215</v>
      </c>
      <c r="N17" s="30" t="s">
        <v>7</v>
      </c>
      <c r="O17" s="17">
        <f t="shared" si="4"/>
        <v>0</v>
      </c>
      <c r="Z17" s="17">
        <f t="shared" si="5"/>
        <v>0</v>
      </c>
      <c r="AA17" s="17">
        <f t="shared" si="6"/>
        <v>0</v>
      </c>
      <c r="AB17" s="17">
        <f t="shared" si="7"/>
        <v>0</v>
      </c>
      <c r="AD17" s="35">
        <v>21</v>
      </c>
      <c r="AE17" s="35">
        <f>G17*0.0354430379746835</f>
        <v>0</v>
      </c>
      <c r="AF17" s="35">
        <f>G17*(1-0.0354430379746835)</f>
        <v>0</v>
      </c>
    </row>
    <row r="18" spans="1:32" ht="12.75">
      <c r="A18" s="4" t="s">
        <v>12</v>
      </c>
      <c r="B18" s="4"/>
      <c r="C18" s="4" t="s">
        <v>70</v>
      </c>
      <c r="D18" s="4" t="s">
        <v>132</v>
      </c>
      <c r="E18" s="4" t="s">
        <v>192</v>
      </c>
      <c r="F18" s="17">
        <v>5</v>
      </c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0</v>
      </c>
      <c r="L18" s="17">
        <f t="shared" si="3"/>
        <v>0</v>
      </c>
      <c r="M18" s="30"/>
      <c r="N18" s="30" t="s">
        <v>7</v>
      </c>
      <c r="O18" s="17">
        <f t="shared" si="4"/>
        <v>0</v>
      </c>
      <c r="Z18" s="17">
        <f t="shared" si="5"/>
        <v>0</v>
      </c>
      <c r="AA18" s="17">
        <f t="shared" si="6"/>
        <v>0</v>
      </c>
      <c r="AB18" s="17">
        <f t="shared" si="7"/>
        <v>0</v>
      </c>
      <c r="AD18" s="35">
        <v>21</v>
      </c>
      <c r="AE18" s="35">
        <f>G18*0</f>
        <v>0</v>
      </c>
      <c r="AF18" s="35">
        <f>G18*(1-0)</f>
        <v>0</v>
      </c>
    </row>
    <row r="19" spans="1:32" ht="12.75">
      <c r="A19" s="4" t="s">
        <v>13</v>
      </c>
      <c r="B19" s="4"/>
      <c r="C19" s="4" t="s">
        <v>71</v>
      </c>
      <c r="D19" s="4" t="s">
        <v>133</v>
      </c>
      <c r="E19" s="4" t="s">
        <v>193</v>
      </c>
      <c r="F19" s="17">
        <v>0.06043</v>
      </c>
      <c r="H19" s="17">
        <f t="shared" si="0"/>
        <v>0</v>
      </c>
      <c r="I19" s="17">
        <f t="shared" si="1"/>
        <v>0</v>
      </c>
      <c r="J19" s="17">
        <f t="shared" si="2"/>
        <v>0</v>
      </c>
      <c r="K19" s="17">
        <v>0</v>
      </c>
      <c r="L19" s="17">
        <f t="shared" si="3"/>
        <v>0</v>
      </c>
      <c r="M19" s="30" t="s">
        <v>215</v>
      </c>
      <c r="N19" s="30" t="s">
        <v>11</v>
      </c>
      <c r="O19" s="17">
        <f t="shared" si="4"/>
        <v>0</v>
      </c>
      <c r="Z19" s="17">
        <f t="shared" si="5"/>
        <v>0</v>
      </c>
      <c r="AA19" s="17">
        <f t="shared" si="6"/>
        <v>0</v>
      </c>
      <c r="AB19" s="17">
        <f t="shared" si="7"/>
        <v>0</v>
      </c>
      <c r="AD19" s="35">
        <v>21</v>
      </c>
      <c r="AE19" s="35">
        <f>G19*0</f>
        <v>0</v>
      </c>
      <c r="AF19" s="35">
        <f>G19*(1-0)</f>
        <v>0</v>
      </c>
    </row>
    <row r="20" spans="1:37" ht="12.75">
      <c r="A20" s="5"/>
      <c r="B20" s="13"/>
      <c r="C20" s="13" t="s">
        <v>72</v>
      </c>
      <c r="D20" s="80" t="s">
        <v>134</v>
      </c>
      <c r="E20" s="81"/>
      <c r="F20" s="81"/>
      <c r="G20" s="81"/>
      <c r="H20" s="37">
        <f>SUM(H21:H41)</f>
        <v>0</v>
      </c>
      <c r="I20" s="37">
        <f>SUM(I21:I41)</f>
        <v>0</v>
      </c>
      <c r="J20" s="37">
        <f>H20+I20</f>
        <v>0</v>
      </c>
      <c r="K20" s="27"/>
      <c r="L20" s="37">
        <f>SUM(L21:L41)</f>
        <v>0.29240399999999994</v>
      </c>
      <c r="M20" s="27"/>
      <c r="P20" s="37">
        <f>IF(Q20="PR",J20,SUM(O21:O41))</f>
        <v>0</v>
      </c>
      <c r="Q20" s="27" t="s">
        <v>219</v>
      </c>
      <c r="R20" s="37">
        <f>IF(Q20="HS",H20,0)</f>
        <v>0</v>
      </c>
      <c r="S20" s="37">
        <f>IF(Q20="HS",I20-P20,0)</f>
        <v>0</v>
      </c>
      <c r="T20" s="37">
        <f>IF(Q20="PS",H20,0)</f>
        <v>0</v>
      </c>
      <c r="U20" s="37">
        <f>IF(Q20="PS",I20-P20,0)</f>
        <v>0</v>
      </c>
      <c r="V20" s="37">
        <f>IF(Q20="MP",H20,0)</f>
        <v>0</v>
      </c>
      <c r="W20" s="37">
        <f>IF(Q20="MP",I20-P20,0)</f>
        <v>0</v>
      </c>
      <c r="X20" s="37">
        <f>IF(Q20="OM",H20,0)</f>
        <v>0</v>
      </c>
      <c r="Y20" s="27"/>
      <c r="AI20" s="37">
        <f>SUM(Z21:Z41)</f>
        <v>0</v>
      </c>
      <c r="AJ20" s="37">
        <f>SUM(AA21:AA41)</f>
        <v>0</v>
      </c>
      <c r="AK20" s="37">
        <f>SUM(AB21:AB41)</f>
        <v>0</v>
      </c>
    </row>
    <row r="21" spans="1:32" ht="12.75">
      <c r="A21" s="4" t="s">
        <v>14</v>
      </c>
      <c r="B21" s="4"/>
      <c r="C21" s="4" t="s">
        <v>73</v>
      </c>
      <c r="D21" s="4" t="s">
        <v>135</v>
      </c>
      <c r="E21" s="4" t="s">
        <v>191</v>
      </c>
      <c r="F21" s="17">
        <v>1</v>
      </c>
      <c r="H21" s="17">
        <f aca="true" t="shared" si="8" ref="H21:H41">ROUND(F21*AE21,2)</f>
        <v>0</v>
      </c>
      <c r="I21" s="17">
        <f aca="true" t="shared" si="9" ref="I21:I41">J21-H21</f>
        <v>0</v>
      </c>
      <c r="J21" s="17">
        <f aca="true" t="shared" si="10" ref="J21:J41">ROUND(F21*G21,2)</f>
        <v>0</v>
      </c>
      <c r="K21" s="17">
        <v>0.00398</v>
      </c>
      <c r="L21" s="17">
        <f aca="true" t="shared" si="11" ref="L21:L41">F21*K21</f>
        <v>0.00398</v>
      </c>
      <c r="M21" s="30" t="s">
        <v>215</v>
      </c>
      <c r="N21" s="30" t="s">
        <v>7</v>
      </c>
      <c r="O21" s="17">
        <f aca="true" t="shared" si="12" ref="O21:O41">IF(N21="5",I21,0)</f>
        <v>0</v>
      </c>
      <c r="Z21" s="17">
        <f aca="true" t="shared" si="13" ref="Z21:Z41">IF(AD21=0,J21,0)</f>
        <v>0</v>
      </c>
      <c r="AA21" s="17">
        <f aca="true" t="shared" si="14" ref="AA21:AA41">IF(AD21=15,J21,0)</f>
        <v>0</v>
      </c>
      <c r="AB21" s="17">
        <f aca="true" t="shared" si="15" ref="AB21:AB41">IF(AD21=21,J21,0)</f>
        <v>0</v>
      </c>
      <c r="AD21" s="35">
        <v>21</v>
      </c>
      <c r="AE21" s="35">
        <f>G21*0.224848484848485</f>
        <v>0</v>
      </c>
      <c r="AF21" s="35">
        <f>G21*(1-0.224848484848485)</f>
        <v>0</v>
      </c>
    </row>
    <row r="22" spans="1:32" ht="12.75">
      <c r="A22" s="4" t="s">
        <v>15</v>
      </c>
      <c r="B22" s="4"/>
      <c r="C22" s="4" t="s">
        <v>73</v>
      </c>
      <c r="D22" s="4" t="s">
        <v>136</v>
      </c>
      <c r="E22" s="4" t="s">
        <v>191</v>
      </c>
      <c r="F22" s="17">
        <v>9.02</v>
      </c>
      <c r="H22" s="17">
        <f t="shared" si="8"/>
        <v>0</v>
      </c>
      <c r="I22" s="17">
        <f t="shared" si="9"/>
        <v>0</v>
      </c>
      <c r="J22" s="17">
        <f t="shared" si="10"/>
        <v>0</v>
      </c>
      <c r="K22" s="17">
        <v>0.00398</v>
      </c>
      <c r="L22" s="17">
        <f t="shared" si="11"/>
        <v>0.0358996</v>
      </c>
      <c r="M22" s="30" t="s">
        <v>215</v>
      </c>
      <c r="N22" s="30" t="s">
        <v>7</v>
      </c>
      <c r="O22" s="17">
        <f t="shared" si="12"/>
        <v>0</v>
      </c>
      <c r="Z22" s="17">
        <f t="shared" si="13"/>
        <v>0</v>
      </c>
      <c r="AA22" s="17">
        <f t="shared" si="14"/>
        <v>0</v>
      </c>
      <c r="AB22" s="17">
        <f t="shared" si="15"/>
        <v>0</v>
      </c>
      <c r="AD22" s="35">
        <v>21</v>
      </c>
      <c r="AE22" s="35">
        <f>G22*0.224848484848485</f>
        <v>0</v>
      </c>
      <c r="AF22" s="35">
        <f>G22*(1-0.224848484848485)</f>
        <v>0</v>
      </c>
    </row>
    <row r="23" spans="1:32" ht="12.75">
      <c r="A23" s="4" t="s">
        <v>16</v>
      </c>
      <c r="B23" s="4"/>
      <c r="C23" s="4" t="s">
        <v>74</v>
      </c>
      <c r="D23" s="4" t="s">
        <v>137</v>
      </c>
      <c r="E23" s="4" t="s">
        <v>191</v>
      </c>
      <c r="F23" s="17">
        <v>3</v>
      </c>
      <c r="H23" s="17">
        <f t="shared" si="8"/>
        <v>0</v>
      </c>
      <c r="I23" s="17">
        <f t="shared" si="9"/>
        <v>0</v>
      </c>
      <c r="J23" s="17">
        <f t="shared" si="10"/>
        <v>0</v>
      </c>
      <c r="K23" s="17">
        <v>0.00518</v>
      </c>
      <c r="L23" s="17">
        <f t="shared" si="11"/>
        <v>0.015539999999999998</v>
      </c>
      <c r="M23" s="30" t="s">
        <v>215</v>
      </c>
      <c r="N23" s="30" t="s">
        <v>7</v>
      </c>
      <c r="O23" s="17">
        <f t="shared" si="12"/>
        <v>0</v>
      </c>
      <c r="Z23" s="17">
        <f t="shared" si="13"/>
        <v>0</v>
      </c>
      <c r="AA23" s="17">
        <f t="shared" si="14"/>
        <v>0</v>
      </c>
      <c r="AB23" s="17">
        <f t="shared" si="15"/>
        <v>0</v>
      </c>
      <c r="AD23" s="35">
        <v>21</v>
      </c>
      <c r="AE23" s="35">
        <f>G23*0.263358490566038</f>
        <v>0</v>
      </c>
      <c r="AF23" s="35">
        <f>G23*(1-0.263358490566038)</f>
        <v>0</v>
      </c>
    </row>
    <row r="24" spans="1:32" ht="12.75">
      <c r="A24" s="4" t="s">
        <v>17</v>
      </c>
      <c r="B24" s="4"/>
      <c r="C24" s="4" t="s">
        <v>75</v>
      </c>
      <c r="D24" s="4" t="s">
        <v>138</v>
      </c>
      <c r="E24" s="4" t="s">
        <v>191</v>
      </c>
      <c r="F24" s="17">
        <v>4</v>
      </c>
      <c r="H24" s="17">
        <f t="shared" si="8"/>
        <v>0</v>
      </c>
      <c r="I24" s="17">
        <f t="shared" si="9"/>
        <v>0</v>
      </c>
      <c r="J24" s="17">
        <f t="shared" si="10"/>
        <v>0</v>
      </c>
      <c r="K24" s="17">
        <v>0.00535</v>
      </c>
      <c r="L24" s="17">
        <f t="shared" si="11"/>
        <v>0.0214</v>
      </c>
      <c r="M24" s="30" t="s">
        <v>215</v>
      </c>
      <c r="N24" s="30" t="s">
        <v>7</v>
      </c>
      <c r="O24" s="17">
        <f t="shared" si="12"/>
        <v>0</v>
      </c>
      <c r="Z24" s="17">
        <f t="shared" si="13"/>
        <v>0</v>
      </c>
      <c r="AA24" s="17">
        <f t="shared" si="14"/>
        <v>0</v>
      </c>
      <c r="AB24" s="17">
        <f t="shared" si="15"/>
        <v>0</v>
      </c>
      <c r="AD24" s="35">
        <v>21</v>
      </c>
      <c r="AE24" s="35">
        <f>G24*0.341028037383178</f>
        <v>0</v>
      </c>
      <c r="AF24" s="35">
        <f>G24*(1-0.341028037383178)</f>
        <v>0</v>
      </c>
    </row>
    <row r="25" spans="1:32" ht="12.75">
      <c r="A25" s="4" t="s">
        <v>18</v>
      </c>
      <c r="B25" s="4"/>
      <c r="C25" s="4" t="s">
        <v>76</v>
      </c>
      <c r="D25" s="4" t="s">
        <v>139</v>
      </c>
      <c r="E25" s="4" t="s">
        <v>191</v>
      </c>
      <c r="F25" s="17">
        <v>5.14</v>
      </c>
      <c r="H25" s="17">
        <f t="shared" si="8"/>
        <v>0</v>
      </c>
      <c r="I25" s="17">
        <f t="shared" si="9"/>
        <v>0</v>
      </c>
      <c r="J25" s="17">
        <f t="shared" si="10"/>
        <v>0</v>
      </c>
      <c r="K25" s="17">
        <v>0.00563</v>
      </c>
      <c r="L25" s="17">
        <f t="shared" si="11"/>
        <v>0.028938199999999997</v>
      </c>
      <c r="M25" s="30" t="s">
        <v>215</v>
      </c>
      <c r="N25" s="30" t="s">
        <v>7</v>
      </c>
      <c r="O25" s="17">
        <f t="shared" si="12"/>
        <v>0</v>
      </c>
      <c r="Z25" s="17">
        <f t="shared" si="13"/>
        <v>0</v>
      </c>
      <c r="AA25" s="17">
        <f t="shared" si="14"/>
        <v>0</v>
      </c>
      <c r="AB25" s="17">
        <f t="shared" si="15"/>
        <v>0</v>
      </c>
      <c r="AD25" s="35">
        <v>21</v>
      </c>
      <c r="AE25" s="35">
        <f>G25*0.457003576391262</f>
        <v>0</v>
      </c>
      <c r="AF25" s="35">
        <f>G25*(1-0.457003576391262)</f>
        <v>0</v>
      </c>
    </row>
    <row r="26" spans="1:32" ht="12.75">
      <c r="A26" s="4" t="s">
        <v>19</v>
      </c>
      <c r="B26" s="4"/>
      <c r="C26" s="4" t="s">
        <v>77</v>
      </c>
      <c r="D26" s="4" t="s">
        <v>140</v>
      </c>
      <c r="E26" s="4" t="s">
        <v>191</v>
      </c>
      <c r="F26" s="17">
        <v>4.45</v>
      </c>
      <c r="H26" s="17">
        <f t="shared" si="8"/>
        <v>0</v>
      </c>
      <c r="I26" s="17">
        <f t="shared" si="9"/>
        <v>0</v>
      </c>
      <c r="J26" s="17">
        <f t="shared" si="10"/>
        <v>0</v>
      </c>
      <c r="K26" s="17">
        <v>0.00594</v>
      </c>
      <c r="L26" s="17">
        <f t="shared" si="11"/>
        <v>0.026433</v>
      </c>
      <c r="M26" s="30" t="s">
        <v>215</v>
      </c>
      <c r="N26" s="30" t="s">
        <v>7</v>
      </c>
      <c r="O26" s="17">
        <f t="shared" si="12"/>
        <v>0</v>
      </c>
      <c r="Z26" s="17">
        <f t="shared" si="13"/>
        <v>0</v>
      </c>
      <c r="AA26" s="17">
        <f t="shared" si="14"/>
        <v>0</v>
      </c>
      <c r="AB26" s="17">
        <f t="shared" si="15"/>
        <v>0</v>
      </c>
      <c r="AD26" s="35">
        <v>21</v>
      </c>
      <c r="AE26" s="35">
        <f>G26*0.417838899803536</f>
        <v>0</v>
      </c>
      <c r="AF26" s="35">
        <f>G26*(1-0.417838899803536)</f>
        <v>0</v>
      </c>
    </row>
    <row r="27" spans="1:32" ht="12.75">
      <c r="A27" s="4" t="s">
        <v>20</v>
      </c>
      <c r="B27" s="4"/>
      <c r="C27" s="4" t="s">
        <v>78</v>
      </c>
      <c r="D27" s="4" t="s">
        <v>141</v>
      </c>
      <c r="E27" s="4" t="s">
        <v>191</v>
      </c>
      <c r="F27" s="17">
        <v>1</v>
      </c>
      <c r="H27" s="17">
        <f t="shared" si="8"/>
        <v>0</v>
      </c>
      <c r="I27" s="17">
        <f t="shared" si="9"/>
        <v>0</v>
      </c>
      <c r="J27" s="17">
        <f t="shared" si="10"/>
        <v>0</v>
      </c>
      <c r="K27" s="17">
        <v>0.00401</v>
      </c>
      <c r="L27" s="17">
        <f t="shared" si="11"/>
        <v>0.00401</v>
      </c>
      <c r="M27" s="30" t="s">
        <v>215</v>
      </c>
      <c r="N27" s="30" t="s">
        <v>7</v>
      </c>
      <c r="O27" s="17">
        <f t="shared" si="12"/>
        <v>0</v>
      </c>
      <c r="Z27" s="17">
        <f t="shared" si="13"/>
        <v>0</v>
      </c>
      <c r="AA27" s="17">
        <f t="shared" si="14"/>
        <v>0</v>
      </c>
      <c r="AB27" s="17">
        <f t="shared" si="15"/>
        <v>0</v>
      </c>
      <c r="AD27" s="35">
        <v>21</v>
      </c>
      <c r="AE27" s="35">
        <f>G27*0.250540540540541</f>
        <v>0</v>
      </c>
      <c r="AF27" s="35">
        <f>G27*(1-0.250540540540541)</f>
        <v>0</v>
      </c>
    </row>
    <row r="28" spans="1:32" ht="12.75">
      <c r="A28" s="4" t="s">
        <v>21</v>
      </c>
      <c r="B28" s="4"/>
      <c r="C28" s="4" t="s">
        <v>78</v>
      </c>
      <c r="D28" s="4" t="s">
        <v>142</v>
      </c>
      <c r="E28" s="4" t="s">
        <v>191</v>
      </c>
      <c r="F28" s="17">
        <v>9.02</v>
      </c>
      <c r="H28" s="17">
        <f t="shared" si="8"/>
        <v>0</v>
      </c>
      <c r="I28" s="17">
        <f t="shared" si="9"/>
        <v>0</v>
      </c>
      <c r="J28" s="17">
        <f t="shared" si="10"/>
        <v>0</v>
      </c>
      <c r="K28" s="17">
        <v>0.00401</v>
      </c>
      <c r="L28" s="17">
        <f t="shared" si="11"/>
        <v>0.03617019999999999</v>
      </c>
      <c r="M28" s="30" t="s">
        <v>215</v>
      </c>
      <c r="N28" s="30" t="s">
        <v>7</v>
      </c>
      <c r="O28" s="17">
        <f t="shared" si="12"/>
        <v>0</v>
      </c>
      <c r="Z28" s="17">
        <f t="shared" si="13"/>
        <v>0</v>
      </c>
      <c r="AA28" s="17">
        <f t="shared" si="14"/>
        <v>0</v>
      </c>
      <c r="AB28" s="17">
        <f t="shared" si="15"/>
        <v>0</v>
      </c>
      <c r="AD28" s="35">
        <v>21</v>
      </c>
      <c r="AE28" s="35">
        <f>G28*0.250540540540541</f>
        <v>0</v>
      </c>
      <c r="AF28" s="35">
        <f>G28*(1-0.250540540540541)</f>
        <v>0</v>
      </c>
    </row>
    <row r="29" spans="1:32" ht="12.75">
      <c r="A29" s="4" t="s">
        <v>22</v>
      </c>
      <c r="B29" s="4"/>
      <c r="C29" s="4" t="s">
        <v>79</v>
      </c>
      <c r="D29" s="4" t="s">
        <v>143</v>
      </c>
      <c r="E29" s="4" t="s">
        <v>191</v>
      </c>
      <c r="F29" s="17">
        <v>3</v>
      </c>
      <c r="H29" s="17">
        <f t="shared" si="8"/>
        <v>0</v>
      </c>
      <c r="I29" s="17">
        <f t="shared" si="9"/>
        <v>0</v>
      </c>
      <c r="J29" s="17">
        <f t="shared" si="10"/>
        <v>0</v>
      </c>
      <c r="K29" s="17">
        <v>0.00522</v>
      </c>
      <c r="L29" s="17">
        <f t="shared" si="11"/>
        <v>0.01566</v>
      </c>
      <c r="M29" s="30" t="s">
        <v>215</v>
      </c>
      <c r="N29" s="30" t="s">
        <v>7</v>
      </c>
      <c r="O29" s="17">
        <f t="shared" si="12"/>
        <v>0</v>
      </c>
      <c r="Z29" s="17">
        <f t="shared" si="13"/>
        <v>0</v>
      </c>
      <c r="AA29" s="17">
        <f t="shared" si="14"/>
        <v>0</v>
      </c>
      <c r="AB29" s="17">
        <f t="shared" si="15"/>
        <v>0</v>
      </c>
      <c r="AD29" s="35">
        <v>21</v>
      </c>
      <c r="AE29" s="35">
        <f>G29*0.278708487084871</f>
        <v>0</v>
      </c>
      <c r="AF29" s="35">
        <f>G29*(1-0.278708487084871)</f>
        <v>0</v>
      </c>
    </row>
    <row r="30" spans="1:32" ht="12.75">
      <c r="A30" s="4" t="s">
        <v>23</v>
      </c>
      <c r="B30" s="4"/>
      <c r="C30" s="4" t="s">
        <v>80</v>
      </c>
      <c r="D30" s="4" t="s">
        <v>144</v>
      </c>
      <c r="E30" s="4" t="s">
        <v>191</v>
      </c>
      <c r="F30" s="17">
        <v>4</v>
      </c>
      <c r="H30" s="17">
        <f t="shared" si="8"/>
        <v>0</v>
      </c>
      <c r="I30" s="17">
        <f t="shared" si="9"/>
        <v>0</v>
      </c>
      <c r="J30" s="17">
        <f t="shared" si="10"/>
        <v>0</v>
      </c>
      <c r="K30" s="17">
        <v>0.00541</v>
      </c>
      <c r="L30" s="17">
        <f t="shared" si="11"/>
        <v>0.02164</v>
      </c>
      <c r="M30" s="30" t="s">
        <v>215</v>
      </c>
      <c r="N30" s="30" t="s">
        <v>7</v>
      </c>
      <c r="O30" s="17">
        <f t="shared" si="12"/>
        <v>0</v>
      </c>
      <c r="Z30" s="17">
        <f t="shared" si="13"/>
        <v>0</v>
      </c>
      <c r="AA30" s="17">
        <f t="shared" si="14"/>
        <v>0</v>
      </c>
      <c r="AB30" s="17">
        <f t="shared" si="15"/>
        <v>0</v>
      </c>
      <c r="AD30" s="35">
        <v>21</v>
      </c>
      <c r="AE30" s="35">
        <f>G30*0.357051671732523</f>
        <v>0</v>
      </c>
      <c r="AF30" s="35">
        <f>G30*(1-0.357051671732523)</f>
        <v>0</v>
      </c>
    </row>
    <row r="31" spans="1:32" ht="12.75">
      <c r="A31" s="4" t="s">
        <v>24</v>
      </c>
      <c r="B31" s="4"/>
      <c r="C31" s="4" t="s">
        <v>81</v>
      </c>
      <c r="D31" s="4" t="s">
        <v>145</v>
      </c>
      <c r="E31" s="4" t="s">
        <v>191</v>
      </c>
      <c r="F31" s="17">
        <v>5.14</v>
      </c>
      <c r="H31" s="17">
        <f t="shared" si="8"/>
        <v>0</v>
      </c>
      <c r="I31" s="17">
        <f t="shared" si="9"/>
        <v>0</v>
      </c>
      <c r="J31" s="17">
        <f t="shared" si="10"/>
        <v>0</v>
      </c>
      <c r="K31" s="17">
        <v>0.00573</v>
      </c>
      <c r="L31" s="17">
        <f t="shared" si="11"/>
        <v>0.029452199999999998</v>
      </c>
      <c r="M31" s="30" t="s">
        <v>215</v>
      </c>
      <c r="N31" s="30" t="s">
        <v>7</v>
      </c>
      <c r="O31" s="17">
        <f t="shared" si="12"/>
        <v>0</v>
      </c>
      <c r="Z31" s="17">
        <f t="shared" si="13"/>
        <v>0</v>
      </c>
      <c r="AA31" s="17">
        <f t="shared" si="14"/>
        <v>0</v>
      </c>
      <c r="AB31" s="17">
        <f t="shared" si="15"/>
        <v>0</v>
      </c>
      <c r="AD31" s="35">
        <v>21</v>
      </c>
      <c r="AE31" s="35">
        <f>G31*0.472621075687515</f>
        <v>0</v>
      </c>
      <c r="AF31" s="35">
        <f>G31*(1-0.472621075687515)</f>
        <v>0</v>
      </c>
    </row>
    <row r="32" spans="1:32" ht="12.75">
      <c r="A32" s="4" t="s">
        <v>25</v>
      </c>
      <c r="B32" s="4"/>
      <c r="C32" s="4" t="s">
        <v>82</v>
      </c>
      <c r="D32" s="4" t="s">
        <v>146</v>
      </c>
      <c r="E32" s="4" t="s">
        <v>191</v>
      </c>
      <c r="F32" s="17">
        <v>4.45</v>
      </c>
      <c r="H32" s="17">
        <f t="shared" si="8"/>
        <v>0</v>
      </c>
      <c r="I32" s="17">
        <f t="shared" si="9"/>
        <v>0</v>
      </c>
      <c r="J32" s="17">
        <f t="shared" si="10"/>
        <v>0</v>
      </c>
      <c r="K32" s="17">
        <v>0.0061</v>
      </c>
      <c r="L32" s="17">
        <f t="shared" si="11"/>
        <v>0.027145000000000002</v>
      </c>
      <c r="M32" s="30" t="s">
        <v>215</v>
      </c>
      <c r="N32" s="30" t="s">
        <v>7</v>
      </c>
      <c r="O32" s="17">
        <f t="shared" si="12"/>
        <v>0</v>
      </c>
      <c r="Z32" s="17">
        <f t="shared" si="13"/>
        <v>0</v>
      </c>
      <c r="AA32" s="17">
        <f t="shared" si="14"/>
        <v>0</v>
      </c>
      <c r="AB32" s="17">
        <f t="shared" si="15"/>
        <v>0</v>
      </c>
      <c r="AD32" s="35">
        <v>21</v>
      </c>
      <c r="AE32" s="35">
        <f>G32*0.452273567467653</f>
        <v>0</v>
      </c>
      <c r="AF32" s="35">
        <f>G32*(1-0.452273567467653)</f>
        <v>0</v>
      </c>
    </row>
    <row r="33" spans="1:32" ht="12.75">
      <c r="A33" s="4" t="s">
        <v>26</v>
      </c>
      <c r="B33" s="4"/>
      <c r="C33" s="4" t="s">
        <v>83</v>
      </c>
      <c r="D33" s="4" t="s">
        <v>147</v>
      </c>
      <c r="E33" s="4" t="s">
        <v>191</v>
      </c>
      <c r="F33" s="17">
        <v>26.04</v>
      </c>
      <c r="H33" s="17">
        <f t="shared" si="8"/>
        <v>0</v>
      </c>
      <c r="I33" s="17">
        <f t="shared" si="9"/>
        <v>0</v>
      </c>
      <c r="J33" s="17">
        <f t="shared" si="10"/>
        <v>0</v>
      </c>
      <c r="K33" s="17">
        <v>0</v>
      </c>
      <c r="L33" s="17">
        <f t="shared" si="11"/>
        <v>0</v>
      </c>
      <c r="M33" s="30" t="s">
        <v>215</v>
      </c>
      <c r="N33" s="30" t="s">
        <v>7</v>
      </c>
      <c r="O33" s="17">
        <f t="shared" si="12"/>
        <v>0</v>
      </c>
      <c r="Z33" s="17">
        <f t="shared" si="13"/>
        <v>0</v>
      </c>
      <c r="AA33" s="17">
        <f t="shared" si="14"/>
        <v>0</v>
      </c>
      <c r="AB33" s="17">
        <f t="shared" si="15"/>
        <v>0</v>
      </c>
      <c r="AD33" s="35">
        <v>21</v>
      </c>
      <c r="AE33" s="35">
        <f>G33*0</f>
        <v>0</v>
      </c>
      <c r="AF33" s="35">
        <f>G33*(1-0)</f>
        <v>0</v>
      </c>
    </row>
    <row r="34" spans="1:32" ht="12.75">
      <c r="A34" s="4" t="s">
        <v>27</v>
      </c>
      <c r="B34" s="4"/>
      <c r="C34" s="4" t="s">
        <v>84</v>
      </c>
      <c r="D34" s="4" t="s">
        <v>148</v>
      </c>
      <c r="E34" s="4" t="s">
        <v>191</v>
      </c>
      <c r="F34" s="17">
        <v>18.28</v>
      </c>
      <c r="H34" s="17">
        <f t="shared" si="8"/>
        <v>0</v>
      </c>
      <c r="I34" s="17">
        <f t="shared" si="9"/>
        <v>0</v>
      </c>
      <c r="J34" s="17">
        <f t="shared" si="10"/>
        <v>0</v>
      </c>
      <c r="K34" s="17">
        <v>0</v>
      </c>
      <c r="L34" s="17">
        <f t="shared" si="11"/>
        <v>0</v>
      </c>
      <c r="M34" s="30" t="s">
        <v>215</v>
      </c>
      <c r="N34" s="30" t="s">
        <v>7</v>
      </c>
      <c r="O34" s="17">
        <f t="shared" si="12"/>
        <v>0</v>
      </c>
      <c r="Z34" s="17">
        <f t="shared" si="13"/>
        <v>0</v>
      </c>
      <c r="AA34" s="17">
        <f t="shared" si="14"/>
        <v>0</v>
      </c>
      <c r="AB34" s="17">
        <f t="shared" si="15"/>
        <v>0</v>
      </c>
      <c r="AD34" s="35">
        <v>21</v>
      </c>
      <c r="AE34" s="35">
        <f>G34*0</f>
        <v>0</v>
      </c>
      <c r="AF34" s="35">
        <f>G34*(1-0)</f>
        <v>0</v>
      </c>
    </row>
    <row r="35" spans="1:32" ht="12.75">
      <c r="A35" s="4" t="s">
        <v>28</v>
      </c>
      <c r="B35" s="4"/>
      <c r="C35" s="4" t="s">
        <v>85</v>
      </c>
      <c r="D35" s="4" t="s">
        <v>149</v>
      </c>
      <c r="E35" s="4" t="s">
        <v>191</v>
      </c>
      <c r="F35" s="17">
        <v>8.9</v>
      </c>
      <c r="H35" s="17">
        <f t="shared" si="8"/>
        <v>0</v>
      </c>
      <c r="I35" s="17">
        <f t="shared" si="9"/>
        <v>0</v>
      </c>
      <c r="J35" s="17">
        <f t="shared" si="10"/>
        <v>0</v>
      </c>
      <c r="K35" s="17">
        <v>0</v>
      </c>
      <c r="L35" s="17">
        <f t="shared" si="11"/>
        <v>0</v>
      </c>
      <c r="M35" s="30" t="s">
        <v>215</v>
      </c>
      <c r="N35" s="30" t="s">
        <v>7</v>
      </c>
      <c r="O35" s="17">
        <f t="shared" si="12"/>
        <v>0</v>
      </c>
      <c r="Z35" s="17">
        <f t="shared" si="13"/>
        <v>0</v>
      </c>
      <c r="AA35" s="17">
        <f t="shared" si="14"/>
        <v>0</v>
      </c>
      <c r="AB35" s="17">
        <f t="shared" si="15"/>
        <v>0</v>
      </c>
      <c r="AD35" s="35">
        <v>21</v>
      </c>
      <c r="AE35" s="35">
        <f>G35*0</f>
        <v>0</v>
      </c>
      <c r="AF35" s="35">
        <f>G35*(1-0)</f>
        <v>0</v>
      </c>
    </row>
    <row r="36" spans="1:32" ht="12.75">
      <c r="A36" s="4" t="s">
        <v>29</v>
      </c>
      <c r="B36" s="4"/>
      <c r="C36" s="4" t="s">
        <v>86</v>
      </c>
      <c r="D36" s="4" t="s">
        <v>150</v>
      </c>
      <c r="E36" s="4" t="s">
        <v>191</v>
      </c>
      <c r="F36" s="17">
        <v>53.22</v>
      </c>
      <c r="H36" s="17">
        <f t="shared" si="8"/>
        <v>0</v>
      </c>
      <c r="I36" s="17">
        <f t="shared" si="9"/>
        <v>0</v>
      </c>
      <c r="J36" s="17">
        <f t="shared" si="10"/>
        <v>0</v>
      </c>
      <c r="K36" s="17">
        <v>1E-05</v>
      </c>
      <c r="L36" s="17">
        <f t="shared" si="11"/>
        <v>0.0005322</v>
      </c>
      <c r="M36" s="30" t="s">
        <v>215</v>
      </c>
      <c r="N36" s="30" t="s">
        <v>7</v>
      </c>
      <c r="O36" s="17">
        <f t="shared" si="12"/>
        <v>0</v>
      </c>
      <c r="Z36" s="17">
        <f t="shared" si="13"/>
        <v>0</v>
      </c>
      <c r="AA36" s="17">
        <f t="shared" si="14"/>
        <v>0</v>
      </c>
      <c r="AB36" s="17">
        <f t="shared" si="15"/>
        <v>0</v>
      </c>
      <c r="AD36" s="35">
        <v>21</v>
      </c>
      <c r="AE36" s="35">
        <f>G36*0.0674528301886792</f>
        <v>0</v>
      </c>
      <c r="AF36" s="35">
        <f>G36*(1-0.0674528301886792)</f>
        <v>0</v>
      </c>
    </row>
    <row r="37" spans="1:32" ht="12.75">
      <c r="A37" s="4" t="s">
        <v>30</v>
      </c>
      <c r="B37" s="4"/>
      <c r="C37" s="4" t="s">
        <v>87</v>
      </c>
      <c r="D37" s="4" t="s">
        <v>151</v>
      </c>
      <c r="E37" s="4" t="s">
        <v>191</v>
      </c>
      <c r="F37" s="17">
        <v>53.22</v>
      </c>
      <c r="H37" s="17">
        <f t="shared" si="8"/>
        <v>0</v>
      </c>
      <c r="I37" s="17">
        <f t="shared" si="9"/>
        <v>0</v>
      </c>
      <c r="J37" s="17">
        <f t="shared" si="10"/>
        <v>0</v>
      </c>
      <c r="K37" s="17">
        <v>0.00038</v>
      </c>
      <c r="L37" s="17">
        <f t="shared" si="11"/>
        <v>0.0202236</v>
      </c>
      <c r="M37" s="30" t="s">
        <v>215</v>
      </c>
      <c r="N37" s="30" t="s">
        <v>7</v>
      </c>
      <c r="O37" s="17">
        <f t="shared" si="12"/>
        <v>0</v>
      </c>
      <c r="Z37" s="17">
        <f t="shared" si="13"/>
        <v>0</v>
      </c>
      <c r="AA37" s="17">
        <f t="shared" si="14"/>
        <v>0</v>
      </c>
      <c r="AB37" s="17">
        <f t="shared" si="15"/>
        <v>0</v>
      </c>
      <c r="AD37" s="35">
        <v>21</v>
      </c>
      <c r="AE37" s="35">
        <f>G37*0.219682151589242</f>
        <v>0</v>
      </c>
      <c r="AF37" s="35">
        <f>G37*(1-0.219682151589242)</f>
        <v>0</v>
      </c>
    </row>
    <row r="38" spans="1:32" ht="12.75">
      <c r="A38" s="4" t="s">
        <v>31</v>
      </c>
      <c r="B38" s="4"/>
      <c r="C38" s="4" t="s">
        <v>88</v>
      </c>
      <c r="D38" s="4" t="s">
        <v>152</v>
      </c>
      <c r="E38" s="4" t="s">
        <v>192</v>
      </c>
      <c r="F38" s="17">
        <v>4</v>
      </c>
      <c r="H38" s="17">
        <f t="shared" si="8"/>
        <v>0</v>
      </c>
      <c r="I38" s="17">
        <f t="shared" si="9"/>
        <v>0</v>
      </c>
      <c r="J38" s="17">
        <f t="shared" si="10"/>
        <v>0</v>
      </c>
      <c r="K38" s="17">
        <v>0</v>
      </c>
      <c r="L38" s="17">
        <f t="shared" si="11"/>
        <v>0</v>
      </c>
      <c r="M38" s="30"/>
      <c r="N38" s="30" t="s">
        <v>7</v>
      </c>
      <c r="O38" s="17">
        <f t="shared" si="12"/>
        <v>0</v>
      </c>
      <c r="Z38" s="17">
        <f t="shared" si="13"/>
        <v>0</v>
      </c>
      <c r="AA38" s="17">
        <f t="shared" si="14"/>
        <v>0</v>
      </c>
      <c r="AB38" s="17">
        <f t="shared" si="15"/>
        <v>0</v>
      </c>
      <c r="AD38" s="35">
        <v>21</v>
      </c>
      <c r="AE38" s="35">
        <f>G38*0.833333333333333</f>
        <v>0</v>
      </c>
      <c r="AF38" s="35">
        <f>G38*(1-0.833333333333333)</f>
        <v>0</v>
      </c>
    </row>
    <row r="39" spans="1:32" ht="12.75">
      <c r="A39" s="4" t="s">
        <v>32</v>
      </c>
      <c r="B39" s="4"/>
      <c r="C39" s="4" t="s">
        <v>89</v>
      </c>
      <c r="D39" s="4" t="s">
        <v>153</v>
      </c>
      <c r="E39" s="4" t="s">
        <v>192</v>
      </c>
      <c r="F39" s="17">
        <v>6</v>
      </c>
      <c r="H39" s="17">
        <f t="shared" si="8"/>
        <v>0</v>
      </c>
      <c r="I39" s="17">
        <f t="shared" si="9"/>
        <v>0</v>
      </c>
      <c r="J39" s="17">
        <f t="shared" si="10"/>
        <v>0</v>
      </c>
      <c r="K39" s="17">
        <v>0.00074</v>
      </c>
      <c r="L39" s="17">
        <f t="shared" si="11"/>
        <v>0.0044399999999999995</v>
      </c>
      <c r="M39" s="30" t="s">
        <v>215</v>
      </c>
      <c r="N39" s="30" t="s">
        <v>7</v>
      </c>
      <c r="O39" s="17">
        <f t="shared" si="12"/>
        <v>0</v>
      </c>
      <c r="Z39" s="17">
        <f t="shared" si="13"/>
        <v>0</v>
      </c>
      <c r="AA39" s="17">
        <f t="shared" si="14"/>
        <v>0</v>
      </c>
      <c r="AB39" s="17">
        <f t="shared" si="15"/>
        <v>0</v>
      </c>
      <c r="AD39" s="35">
        <v>21</v>
      </c>
      <c r="AE39" s="35">
        <f>G39*0.888719394751845</f>
        <v>0</v>
      </c>
      <c r="AF39" s="35">
        <f>G39*(1-0.888719394751845)</f>
        <v>0</v>
      </c>
    </row>
    <row r="40" spans="1:32" ht="12.75">
      <c r="A40" s="4" t="s">
        <v>33</v>
      </c>
      <c r="B40" s="4"/>
      <c r="C40" s="4" t="s">
        <v>90</v>
      </c>
      <c r="D40" s="4" t="s">
        <v>154</v>
      </c>
      <c r="E40" s="4" t="s">
        <v>192</v>
      </c>
      <c r="F40" s="17">
        <v>2</v>
      </c>
      <c r="H40" s="17">
        <f t="shared" si="8"/>
        <v>0</v>
      </c>
      <c r="I40" s="17">
        <f t="shared" si="9"/>
        <v>0</v>
      </c>
      <c r="J40" s="17">
        <f t="shared" si="10"/>
        <v>0</v>
      </c>
      <c r="K40" s="17">
        <v>0.00047</v>
      </c>
      <c r="L40" s="17">
        <f t="shared" si="11"/>
        <v>0.00094</v>
      </c>
      <c r="M40" s="30" t="s">
        <v>215</v>
      </c>
      <c r="N40" s="30" t="s">
        <v>7</v>
      </c>
      <c r="O40" s="17">
        <f t="shared" si="12"/>
        <v>0</v>
      </c>
      <c r="Z40" s="17">
        <f t="shared" si="13"/>
        <v>0</v>
      </c>
      <c r="AA40" s="17">
        <f t="shared" si="14"/>
        <v>0</v>
      </c>
      <c r="AB40" s="17">
        <f t="shared" si="15"/>
        <v>0</v>
      </c>
      <c r="AD40" s="35">
        <v>21</v>
      </c>
      <c r="AE40" s="35">
        <f>G40*0.860742705570292</f>
        <v>0</v>
      </c>
      <c r="AF40" s="35">
        <f>G40*(1-0.860742705570292)</f>
        <v>0</v>
      </c>
    </row>
    <row r="41" spans="1:32" ht="12.75">
      <c r="A41" s="4" t="s">
        <v>34</v>
      </c>
      <c r="B41" s="4"/>
      <c r="C41" s="4" t="s">
        <v>91</v>
      </c>
      <c r="D41" s="4" t="s">
        <v>155</v>
      </c>
      <c r="E41" s="4" t="s">
        <v>193</v>
      </c>
      <c r="F41" s="17">
        <v>0.2924</v>
      </c>
      <c r="H41" s="17">
        <f t="shared" si="8"/>
        <v>0</v>
      </c>
      <c r="I41" s="17">
        <f t="shared" si="9"/>
        <v>0</v>
      </c>
      <c r="J41" s="17">
        <f t="shared" si="10"/>
        <v>0</v>
      </c>
      <c r="K41" s="17">
        <v>0</v>
      </c>
      <c r="L41" s="17">
        <f t="shared" si="11"/>
        <v>0</v>
      </c>
      <c r="M41" s="30" t="s">
        <v>215</v>
      </c>
      <c r="N41" s="30" t="s">
        <v>11</v>
      </c>
      <c r="O41" s="17">
        <f t="shared" si="12"/>
        <v>0</v>
      </c>
      <c r="Z41" s="17">
        <f t="shared" si="13"/>
        <v>0</v>
      </c>
      <c r="AA41" s="17">
        <f t="shared" si="14"/>
        <v>0</v>
      </c>
      <c r="AB41" s="17">
        <f t="shared" si="15"/>
        <v>0</v>
      </c>
      <c r="AD41" s="35">
        <v>21</v>
      </c>
      <c r="AE41" s="35">
        <f>G41*0</f>
        <v>0</v>
      </c>
      <c r="AF41" s="35">
        <f>G41*(1-0)</f>
        <v>0</v>
      </c>
    </row>
    <row r="42" spans="1:37" ht="12.75">
      <c r="A42" s="5"/>
      <c r="B42" s="13"/>
      <c r="C42" s="13" t="s">
        <v>92</v>
      </c>
      <c r="D42" s="80" t="s">
        <v>156</v>
      </c>
      <c r="E42" s="81"/>
      <c r="F42" s="81"/>
      <c r="G42" s="81"/>
      <c r="H42" s="37">
        <f>SUM(H43:H53)</f>
        <v>0</v>
      </c>
      <c r="I42" s="37">
        <f>SUM(I43:I53)</f>
        <v>0</v>
      </c>
      <c r="J42" s="37">
        <f>H42+I42</f>
        <v>0</v>
      </c>
      <c r="K42" s="27"/>
      <c r="L42" s="37">
        <f>SUM(L43:L53)</f>
        <v>0.012289999999999999</v>
      </c>
      <c r="M42" s="27"/>
      <c r="P42" s="37">
        <f>IF(Q42="PR",J42,SUM(O43:O53))</f>
        <v>0</v>
      </c>
      <c r="Q42" s="27" t="s">
        <v>219</v>
      </c>
      <c r="R42" s="37">
        <f>IF(Q42="HS",H42,0)</f>
        <v>0</v>
      </c>
      <c r="S42" s="37">
        <f>IF(Q42="HS",I42-P42,0)</f>
        <v>0</v>
      </c>
      <c r="T42" s="37">
        <f>IF(Q42="PS",H42,0)</f>
        <v>0</v>
      </c>
      <c r="U42" s="37">
        <f>IF(Q42="PS",I42-P42,0)</f>
        <v>0</v>
      </c>
      <c r="V42" s="37">
        <f>IF(Q42="MP",H42,0)</f>
        <v>0</v>
      </c>
      <c r="W42" s="37">
        <f>IF(Q42="MP",I42-P42,0)</f>
        <v>0</v>
      </c>
      <c r="X42" s="37">
        <f>IF(Q42="OM",H42,0)</f>
        <v>0</v>
      </c>
      <c r="Y42" s="27"/>
      <c r="AI42" s="37">
        <f>SUM(Z43:Z53)</f>
        <v>0</v>
      </c>
      <c r="AJ42" s="37">
        <f>SUM(AA43:AA53)</f>
        <v>0</v>
      </c>
      <c r="AK42" s="37">
        <f>SUM(AB43:AB53)</f>
        <v>0</v>
      </c>
    </row>
    <row r="43" spans="1:32" ht="12.75">
      <c r="A43" s="4" t="s">
        <v>35</v>
      </c>
      <c r="B43" s="4"/>
      <c r="C43" s="4" t="s">
        <v>93</v>
      </c>
      <c r="D43" s="4" t="s">
        <v>157</v>
      </c>
      <c r="E43" s="4" t="s">
        <v>194</v>
      </c>
      <c r="F43" s="17">
        <v>2</v>
      </c>
      <c r="H43" s="17">
        <f aca="true" t="shared" si="16" ref="H43:H53">ROUND(F43*AE43,2)</f>
        <v>0</v>
      </c>
      <c r="I43" s="17">
        <f aca="true" t="shared" si="17" ref="I43:I53">J43-H43</f>
        <v>0</v>
      </c>
      <c r="J43" s="17">
        <f aca="true" t="shared" si="18" ref="J43:J53">ROUND(F43*G43,2)</f>
        <v>0</v>
      </c>
      <c r="K43" s="17">
        <v>0.00156</v>
      </c>
      <c r="L43" s="17">
        <f aca="true" t="shared" si="19" ref="L43:L53">F43*K43</f>
        <v>0.00312</v>
      </c>
      <c r="M43" s="30" t="s">
        <v>215</v>
      </c>
      <c r="N43" s="30" t="s">
        <v>7</v>
      </c>
      <c r="O43" s="17">
        <f aca="true" t="shared" si="20" ref="O43:O53">IF(N43="5",I43,0)</f>
        <v>0</v>
      </c>
      <c r="Z43" s="17">
        <f aca="true" t="shared" si="21" ref="Z43:Z53">IF(AD43=0,J43,0)</f>
        <v>0</v>
      </c>
      <c r="AA43" s="17">
        <f aca="true" t="shared" si="22" ref="AA43:AA53">IF(AD43=15,J43,0)</f>
        <v>0</v>
      </c>
      <c r="AB43" s="17">
        <f aca="true" t="shared" si="23" ref="AB43:AB53">IF(AD43=21,J43,0)</f>
        <v>0</v>
      </c>
      <c r="AD43" s="35">
        <v>21</v>
      </c>
      <c r="AE43" s="35">
        <f>G43*0</f>
        <v>0</v>
      </c>
      <c r="AF43" s="35">
        <f>G43*(1-0)</f>
        <v>0</v>
      </c>
    </row>
    <row r="44" spans="1:32" ht="12.75">
      <c r="A44" s="4" t="s">
        <v>36</v>
      </c>
      <c r="B44" s="4"/>
      <c r="C44" s="4" t="s">
        <v>94</v>
      </c>
      <c r="D44" s="4" t="s">
        <v>158</v>
      </c>
      <c r="E44" s="4" t="s">
        <v>194</v>
      </c>
      <c r="F44" s="17">
        <v>1</v>
      </c>
      <c r="H44" s="17">
        <f t="shared" si="16"/>
        <v>0</v>
      </c>
      <c r="I44" s="17">
        <f t="shared" si="17"/>
        <v>0</v>
      </c>
      <c r="J44" s="17">
        <f t="shared" si="18"/>
        <v>0</v>
      </c>
      <c r="K44" s="17">
        <v>0.00212</v>
      </c>
      <c r="L44" s="17">
        <f t="shared" si="19"/>
        <v>0.00212</v>
      </c>
      <c r="M44" s="30" t="s">
        <v>215</v>
      </c>
      <c r="N44" s="30" t="s">
        <v>7</v>
      </c>
      <c r="O44" s="17">
        <f t="shared" si="20"/>
        <v>0</v>
      </c>
      <c r="Z44" s="17">
        <f t="shared" si="21"/>
        <v>0</v>
      </c>
      <c r="AA44" s="17">
        <f t="shared" si="22"/>
        <v>0</v>
      </c>
      <c r="AB44" s="17">
        <f t="shared" si="23"/>
        <v>0</v>
      </c>
      <c r="AD44" s="35">
        <v>21</v>
      </c>
      <c r="AE44" s="35">
        <f>G44*0.689169884169884</f>
        <v>0</v>
      </c>
      <c r="AF44" s="35">
        <f>G44*(1-0.689169884169884)</f>
        <v>0</v>
      </c>
    </row>
    <row r="45" spans="1:32" ht="12.75">
      <c r="A45" s="4" t="s">
        <v>37</v>
      </c>
      <c r="B45" s="4"/>
      <c r="C45" s="4" t="s">
        <v>95</v>
      </c>
      <c r="D45" s="4" t="s">
        <v>159</v>
      </c>
      <c r="E45" s="4" t="s">
        <v>192</v>
      </c>
      <c r="F45" s="17">
        <v>1</v>
      </c>
      <c r="H45" s="17">
        <f t="shared" si="16"/>
        <v>0</v>
      </c>
      <c r="I45" s="17">
        <f t="shared" si="17"/>
        <v>0</v>
      </c>
      <c r="J45" s="17">
        <f t="shared" si="18"/>
        <v>0</v>
      </c>
      <c r="K45" s="17">
        <v>0.00281</v>
      </c>
      <c r="L45" s="17">
        <f t="shared" si="19"/>
        <v>0.00281</v>
      </c>
      <c r="M45" s="30" t="s">
        <v>215</v>
      </c>
      <c r="N45" s="30" t="s">
        <v>9</v>
      </c>
      <c r="O45" s="17">
        <f t="shared" si="20"/>
        <v>0</v>
      </c>
      <c r="Z45" s="17">
        <f t="shared" si="21"/>
        <v>0</v>
      </c>
      <c r="AA45" s="17">
        <f t="shared" si="22"/>
        <v>0</v>
      </c>
      <c r="AB45" s="17">
        <f t="shared" si="23"/>
        <v>0</v>
      </c>
      <c r="AD45" s="35">
        <v>21</v>
      </c>
      <c r="AE45" s="35">
        <f>G45*0.317898370352382</f>
        <v>0</v>
      </c>
      <c r="AF45" s="35">
        <f>G45*(1-0.317898370352382)</f>
        <v>0</v>
      </c>
    </row>
    <row r="46" spans="1:32" ht="12.75">
      <c r="A46" s="4" t="s">
        <v>38</v>
      </c>
      <c r="B46" s="4"/>
      <c r="C46" s="4" t="s">
        <v>96</v>
      </c>
      <c r="D46" s="4" t="s">
        <v>160</v>
      </c>
      <c r="E46" s="4" t="s">
        <v>192</v>
      </c>
      <c r="F46" s="17">
        <v>1</v>
      </c>
      <c r="H46" s="17">
        <f t="shared" si="16"/>
        <v>0</v>
      </c>
      <c r="I46" s="17">
        <f t="shared" si="17"/>
        <v>0</v>
      </c>
      <c r="J46" s="17">
        <f t="shared" si="18"/>
        <v>0</v>
      </c>
      <c r="K46" s="17">
        <v>0</v>
      </c>
      <c r="L46" s="17">
        <f t="shared" si="19"/>
        <v>0</v>
      </c>
      <c r="M46" s="30" t="s">
        <v>215</v>
      </c>
      <c r="N46" s="30" t="s">
        <v>7</v>
      </c>
      <c r="O46" s="17">
        <f t="shared" si="20"/>
        <v>0</v>
      </c>
      <c r="Z46" s="17">
        <f t="shared" si="21"/>
        <v>0</v>
      </c>
      <c r="AA46" s="17">
        <f t="shared" si="22"/>
        <v>0</v>
      </c>
      <c r="AB46" s="17">
        <f t="shared" si="23"/>
        <v>0</v>
      </c>
      <c r="AD46" s="35">
        <v>21</v>
      </c>
      <c r="AE46" s="35">
        <f>G46*0.94987610619469</f>
        <v>0</v>
      </c>
      <c r="AF46" s="35">
        <f>G46*(1-0.94987610619469)</f>
        <v>0</v>
      </c>
    </row>
    <row r="47" spans="1:32" ht="12.75">
      <c r="A47" s="4" t="s">
        <v>39</v>
      </c>
      <c r="B47" s="4"/>
      <c r="C47" s="4" t="s">
        <v>97</v>
      </c>
      <c r="D47" s="4" t="s">
        <v>161</v>
      </c>
      <c r="E47" s="4" t="s">
        <v>192</v>
      </c>
      <c r="F47" s="17">
        <v>1</v>
      </c>
      <c r="H47" s="17">
        <f t="shared" si="16"/>
        <v>0</v>
      </c>
      <c r="I47" s="17">
        <f t="shared" si="17"/>
        <v>0</v>
      </c>
      <c r="J47" s="17">
        <f t="shared" si="18"/>
        <v>0</v>
      </c>
      <c r="K47" s="17">
        <v>0.0012</v>
      </c>
      <c r="L47" s="17">
        <f t="shared" si="19"/>
        <v>0.0012</v>
      </c>
      <c r="M47" s="30" t="s">
        <v>215</v>
      </c>
      <c r="N47" s="30" t="s">
        <v>7</v>
      </c>
      <c r="O47" s="17">
        <f t="shared" si="20"/>
        <v>0</v>
      </c>
      <c r="Z47" s="17">
        <f t="shared" si="21"/>
        <v>0</v>
      </c>
      <c r="AA47" s="17">
        <f t="shared" si="22"/>
        <v>0</v>
      </c>
      <c r="AB47" s="17">
        <f t="shared" si="23"/>
        <v>0</v>
      </c>
      <c r="AD47" s="35">
        <v>21</v>
      </c>
      <c r="AE47" s="35">
        <f>G47*0.956342291371994</f>
        <v>0</v>
      </c>
      <c r="AF47" s="35">
        <f>G47*(1-0.956342291371994)</f>
        <v>0</v>
      </c>
    </row>
    <row r="48" spans="1:32" ht="12.75">
      <c r="A48" s="4" t="s">
        <v>40</v>
      </c>
      <c r="B48" s="4"/>
      <c r="C48" s="4" t="s">
        <v>98</v>
      </c>
      <c r="D48" s="4" t="s">
        <v>162</v>
      </c>
      <c r="E48" s="4" t="s">
        <v>192</v>
      </c>
      <c r="F48" s="17">
        <v>2</v>
      </c>
      <c r="H48" s="17">
        <f t="shared" si="16"/>
        <v>0</v>
      </c>
      <c r="I48" s="17">
        <f t="shared" si="17"/>
        <v>0</v>
      </c>
      <c r="J48" s="17">
        <f t="shared" si="18"/>
        <v>0</v>
      </c>
      <c r="K48" s="17">
        <v>0.00152</v>
      </c>
      <c r="L48" s="17">
        <f t="shared" si="19"/>
        <v>0.00304</v>
      </c>
      <c r="M48" s="30" t="s">
        <v>215</v>
      </c>
      <c r="N48" s="30" t="s">
        <v>7</v>
      </c>
      <c r="O48" s="17">
        <f t="shared" si="20"/>
        <v>0</v>
      </c>
      <c r="Z48" s="17">
        <f t="shared" si="21"/>
        <v>0</v>
      </c>
      <c r="AA48" s="17">
        <f t="shared" si="22"/>
        <v>0</v>
      </c>
      <c r="AB48" s="17">
        <f t="shared" si="23"/>
        <v>0</v>
      </c>
      <c r="AD48" s="35">
        <v>21</v>
      </c>
      <c r="AE48" s="35">
        <f>G48*0.893694946685211</f>
        <v>0</v>
      </c>
      <c r="AF48" s="35">
        <f>G48*(1-0.893694946685211)</f>
        <v>0</v>
      </c>
    </row>
    <row r="49" spans="1:32" ht="12.75">
      <c r="A49" s="4" t="s">
        <v>41</v>
      </c>
      <c r="B49" s="4"/>
      <c r="C49" s="4" t="s">
        <v>99</v>
      </c>
      <c r="D49" s="4" t="s">
        <v>163</v>
      </c>
      <c r="E49" s="4" t="s">
        <v>194</v>
      </c>
      <c r="F49" s="17">
        <v>1</v>
      </c>
      <c r="H49" s="17">
        <f t="shared" si="16"/>
        <v>0</v>
      </c>
      <c r="I49" s="17">
        <f t="shared" si="17"/>
        <v>0</v>
      </c>
      <c r="J49" s="17">
        <f t="shared" si="18"/>
        <v>0</v>
      </c>
      <c r="K49" s="17">
        <v>0</v>
      </c>
      <c r="L49" s="17">
        <f t="shared" si="19"/>
        <v>0</v>
      </c>
      <c r="M49" s="30"/>
      <c r="N49" s="30" t="s">
        <v>7</v>
      </c>
      <c r="O49" s="17">
        <f t="shared" si="20"/>
        <v>0</v>
      </c>
      <c r="Z49" s="17">
        <f t="shared" si="21"/>
        <v>0</v>
      </c>
      <c r="AA49" s="17">
        <f t="shared" si="22"/>
        <v>0</v>
      </c>
      <c r="AB49" s="17">
        <f t="shared" si="23"/>
        <v>0</v>
      </c>
      <c r="AD49" s="35">
        <v>21</v>
      </c>
      <c r="AE49" s="35">
        <f>G49*0</f>
        <v>0</v>
      </c>
      <c r="AF49" s="35">
        <f>G49*(1-0)</f>
        <v>0</v>
      </c>
    </row>
    <row r="50" spans="1:32" ht="12.75">
      <c r="A50" s="4" t="s">
        <v>42</v>
      </c>
      <c r="B50" s="4"/>
      <c r="C50" s="4" t="s">
        <v>100</v>
      </c>
      <c r="D50" s="4" t="s">
        <v>164</v>
      </c>
      <c r="E50" s="4" t="s">
        <v>194</v>
      </c>
      <c r="F50" s="17">
        <v>1</v>
      </c>
      <c r="H50" s="17">
        <f t="shared" si="16"/>
        <v>0</v>
      </c>
      <c r="I50" s="17">
        <f t="shared" si="17"/>
        <v>0</v>
      </c>
      <c r="J50" s="17">
        <f t="shared" si="18"/>
        <v>0</v>
      </c>
      <c r="K50" s="17">
        <v>0</v>
      </c>
      <c r="L50" s="17">
        <f t="shared" si="19"/>
        <v>0</v>
      </c>
      <c r="M50" s="30"/>
      <c r="N50" s="30" t="s">
        <v>7</v>
      </c>
      <c r="O50" s="17">
        <f t="shared" si="20"/>
        <v>0</v>
      </c>
      <c r="Z50" s="17">
        <f t="shared" si="21"/>
        <v>0</v>
      </c>
      <c r="AA50" s="17">
        <f t="shared" si="22"/>
        <v>0</v>
      </c>
      <c r="AB50" s="17">
        <f t="shared" si="23"/>
        <v>0</v>
      </c>
      <c r="AD50" s="35">
        <v>21</v>
      </c>
      <c r="AE50" s="35">
        <f>G50*0</f>
        <v>0</v>
      </c>
      <c r="AF50" s="35">
        <f>G50*(1-0)</f>
        <v>0</v>
      </c>
    </row>
    <row r="51" spans="1:32" ht="12.75">
      <c r="A51" s="4" t="s">
        <v>43</v>
      </c>
      <c r="B51" s="4"/>
      <c r="C51" s="4" t="s">
        <v>101</v>
      </c>
      <c r="D51" s="4" t="s">
        <v>165</v>
      </c>
      <c r="E51" s="4" t="s">
        <v>194</v>
      </c>
      <c r="F51" s="17">
        <v>1</v>
      </c>
      <c r="H51" s="17">
        <f t="shared" si="16"/>
        <v>0</v>
      </c>
      <c r="I51" s="17">
        <f t="shared" si="17"/>
        <v>0</v>
      </c>
      <c r="J51" s="17">
        <f t="shared" si="18"/>
        <v>0</v>
      </c>
      <c r="K51" s="17">
        <v>0</v>
      </c>
      <c r="L51" s="17">
        <f t="shared" si="19"/>
        <v>0</v>
      </c>
      <c r="M51" s="30"/>
      <c r="N51" s="30" t="s">
        <v>7</v>
      </c>
      <c r="O51" s="17">
        <f t="shared" si="20"/>
        <v>0</v>
      </c>
      <c r="Z51" s="17">
        <f t="shared" si="21"/>
        <v>0</v>
      </c>
      <c r="AA51" s="17">
        <f t="shared" si="22"/>
        <v>0</v>
      </c>
      <c r="AB51" s="17">
        <f t="shared" si="23"/>
        <v>0</v>
      </c>
      <c r="AD51" s="35">
        <v>21</v>
      </c>
      <c r="AE51" s="35">
        <f>G51*0</f>
        <v>0</v>
      </c>
      <c r="AF51" s="35">
        <f>G51*(1-0)</f>
        <v>0</v>
      </c>
    </row>
    <row r="52" spans="1:32" ht="12.75">
      <c r="A52" s="4" t="s">
        <v>44</v>
      </c>
      <c r="B52" s="4"/>
      <c r="C52" s="4" t="s">
        <v>102</v>
      </c>
      <c r="D52" s="4" t="s">
        <v>166</v>
      </c>
      <c r="E52" s="4" t="s">
        <v>194</v>
      </c>
      <c r="F52" s="17">
        <v>1</v>
      </c>
      <c r="H52" s="17">
        <f t="shared" si="16"/>
        <v>0</v>
      </c>
      <c r="I52" s="17">
        <f t="shared" si="17"/>
        <v>0</v>
      </c>
      <c r="J52" s="17">
        <f t="shared" si="18"/>
        <v>0</v>
      </c>
      <c r="K52" s="17">
        <v>0</v>
      </c>
      <c r="L52" s="17">
        <f t="shared" si="19"/>
        <v>0</v>
      </c>
      <c r="M52" s="30"/>
      <c r="N52" s="30" t="s">
        <v>7</v>
      </c>
      <c r="O52" s="17">
        <f t="shared" si="20"/>
        <v>0</v>
      </c>
      <c r="Z52" s="17">
        <f t="shared" si="21"/>
        <v>0</v>
      </c>
      <c r="AA52" s="17">
        <f t="shared" si="22"/>
        <v>0</v>
      </c>
      <c r="AB52" s="17">
        <f t="shared" si="23"/>
        <v>0</v>
      </c>
      <c r="AD52" s="35">
        <v>21</v>
      </c>
      <c r="AE52" s="35">
        <f>G52*0</f>
        <v>0</v>
      </c>
      <c r="AF52" s="35">
        <f>G52*(1-0)</f>
        <v>0</v>
      </c>
    </row>
    <row r="53" spans="1:32" ht="12.75">
      <c r="A53" s="4" t="s">
        <v>45</v>
      </c>
      <c r="B53" s="4"/>
      <c r="C53" s="4" t="s">
        <v>103</v>
      </c>
      <c r="D53" s="4" t="s">
        <v>167</v>
      </c>
      <c r="E53" s="4" t="s">
        <v>193</v>
      </c>
      <c r="F53" s="17">
        <v>0.01229</v>
      </c>
      <c r="H53" s="17">
        <f t="shared" si="16"/>
        <v>0</v>
      </c>
      <c r="I53" s="17">
        <f t="shared" si="17"/>
        <v>0</v>
      </c>
      <c r="J53" s="17">
        <f t="shared" si="18"/>
        <v>0</v>
      </c>
      <c r="K53" s="17">
        <v>0</v>
      </c>
      <c r="L53" s="17">
        <f t="shared" si="19"/>
        <v>0</v>
      </c>
      <c r="M53" s="30" t="s">
        <v>215</v>
      </c>
      <c r="N53" s="30" t="s">
        <v>11</v>
      </c>
      <c r="O53" s="17">
        <f t="shared" si="20"/>
        <v>0</v>
      </c>
      <c r="Z53" s="17">
        <f t="shared" si="21"/>
        <v>0</v>
      </c>
      <c r="AA53" s="17">
        <f t="shared" si="22"/>
        <v>0</v>
      </c>
      <c r="AB53" s="17">
        <f t="shared" si="23"/>
        <v>0</v>
      </c>
      <c r="AD53" s="35">
        <v>21</v>
      </c>
      <c r="AE53" s="35">
        <f>G53*0</f>
        <v>0</v>
      </c>
      <c r="AF53" s="35">
        <f>G53*(1-0)</f>
        <v>0</v>
      </c>
    </row>
    <row r="54" spans="1:37" ht="12.75">
      <c r="A54" s="5"/>
      <c r="B54" s="13"/>
      <c r="C54" s="13" t="s">
        <v>104</v>
      </c>
      <c r="D54" s="80" t="s">
        <v>168</v>
      </c>
      <c r="E54" s="81"/>
      <c r="F54" s="81"/>
      <c r="G54" s="81"/>
      <c r="H54" s="37">
        <f>SUM(H55:H59)</f>
        <v>0</v>
      </c>
      <c r="I54" s="37">
        <f>SUM(I55:I59)</f>
        <v>0</v>
      </c>
      <c r="J54" s="37">
        <f>H54+I54</f>
        <v>0</v>
      </c>
      <c r="K54" s="27"/>
      <c r="L54" s="37">
        <f>SUM(L55:L59)</f>
        <v>0</v>
      </c>
      <c r="M54" s="27"/>
      <c r="P54" s="37">
        <f>IF(Q54="PR",J54,SUM(O55:O59))</f>
        <v>0</v>
      </c>
      <c r="Q54" s="27" t="s">
        <v>220</v>
      </c>
      <c r="R54" s="37">
        <f>IF(Q54="HS",H54,0)</f>
        <v>0</v>
      </c>
      <c r="S54" s="37">
        <f>IF(Q54="HS",I54-P54,0)</f>
        <v>0</v>
      </c>
      <c r="T54" s="37">
        <f>IF(Q54="PS",H54,0)</f>
        <v>0</v>
      </c>
      <c r="U54" s="37">
        <f>IF(Q54="PS",I54-P54,0)</f>
        <v>0</v>
      </c>
      <c r="V54" s="37">
        <f>IF(Q54="MP",H54,0)</f>
        <v>0</v>
      </c>
      <c r="W54" s="37">
        <f>IF(Q54="MP",I54-P54,0)</f>
        <v>0</v>
      </c>
      <c r="X54" s="37">
        <f>IF(Q54="OM",H54,0)</f>
        <v>0</v>
      </c>
      <c r="Y54" s="27"/>
      <c r="AI54" s="37">
        <f>SUM(Z55:Z59)</f>
        <v>0</v>
      </c>
      <c r="AJ54" s="37">
        <f>SUM(AA55:AA59)</f>
        <v>0</v>
      </c>
      <c r="AK54" s="37">
        <f>SUM(AB55:AB59)</f>
        <v>0</v>
      </c>
    </row>
    <row r="55" spans="1:32" ht="12.75">
      <c r="A55" s="4" t="s">
        <v>46</v>
      </c>
      <c r="B55" s="4"/>
      <c r="C55" s="4" t="s">
        <v>105</v>
      </c>
      <c r="D55" s="4" t="s">
        <v>169</v>
      </c>
      <c r="E55" s="4" t="s">
        <v>192</v>
      </c>
      <c r="F55" s="17">
        <v>4</v>
      </c>
      <c r="H55" s="17">
        <f>ROUND(F55*AE55,2)</f>
        <v>0</v>
      </c>
      <c r="I55" s="17">
        <f>J55-H55</f>
        <v>0</v>
      </c>
      <c r="J55" s="17">
        <f>ROUND(F55*G55,2)</f>
        <v>0</v>
      </c>
      <c r="K55" s="17">
        <v>0</v>
      </c>
      <c r="L55" s="17">
        <f>F55*K55</f>
        <v>0</v>
      </c>
      <c r="M55" s="30"/>
      <c r="N55" s="30" t="s">
        <v>7</v>
      </c>
      <c r="O55" s="17">
        <f>IF(N55="5",I55,0)</f>
        <v>0</v>
      </c>
      <c r="Z55" s="17">
        <f>IF(AD55=0,J55,0)</f>
        <v>0</v>
      </c>
      <c r="AA55" s="17">
        <f>IF(AD55=15,J55,0)</f>
        <v>0</v>
      </c>
      <c r="AB55" s="17">
        <f>IF(AD55=21,J55,0)</f>
        <v>0</v>
      </c>
      <c r="AD55" s="35">
        <v>21</v>
      </c>
      <c r="AE55" s="35">
        <f>G55*0</f>
        <v>0</v>
      </c>
      <c r="AF55" s="35">
        <f>G55*(1-0)</f>
        <v>0</v>
      </c>
    </row>
    <row r="56" spans="1:32" ht="12.75">
      <c r="A56" s="4" t="s">
        <v>47</v>
      </c>
      <c r="B56" s="4"/>
      <c r="C56" s="4" t="s">
        <v>106</v>
      </c>
      <c r="D56" s="4" t="s">
        <v>170</v>
      </c>
      <c r="E56" s="4" t="s">
        <v>192</v>
      </c>
      <c r="F56" s="17">
        <v>1</v>
      </c>
      <c r="H56" s="17">
        <f>ROUND(F56*AE56,2)</f>
        <v>0</v>
      </c>
      <c r="I56" s="17">
        <f>J56-H56</f>
        <v>0</v>
      </c>
      <c r="J56" s="17">
        <f>ROUND(F56*G56,2)</f>
        <v>0</v>
      </c>
      <c r="K56" s="17">
        <v>0</v>
      </c>
      <c r="L56" s="17">
        <f>F56*K56</f>
        <v>0</v>
      </c>
      <c r="M56" s="30"/>
      <c r="N56" s="30" t="s">
        <v>7</v>
      </c>
      <c r="O56" s="17">
        <f>IF(N56="5",I56,0)</f>
        <v>0</v>
      </c>
      <c r="Z56" s="17">
        <f>IF(AD56=0,J56,0)</f>
        <v>0</v>
      </c>
      <c r="AA56" s="17">
        <f>IF(AD56=15,J56,0)</f>
        <v>0</v>
      </c>
      <c r="AB56" s="17">
        <f>IF(AD56=21,J56,0)</f>
        <v>0</v>
      </c>
      <c r="AD56" s="35">
        <v>21</v>
      </c>
      <c r="AE56" s="35">
        <f>G56*0</f>
        <v>0</v>
      </c>
      <c r="AF56" s="35">
        <f>G56*(1-0)</f>
        <v>0</v>
      </c>
    </row>
    <row r="57" spans="1:32" ht="12.75">
      <c r="A57" s="4" t="s">
        <v>48</v>
      </c>
      <c r="B57" s="4"/>
      <c r="C57" s="4" t="s">
        <v>107</v>
      </c>
      <c r="D57" s="4" t="s">
        <v>171</v>
      </c>
      <c r="E57" s="4" t="s">
        <v>192</v>
      </c>
      <c r="F57" s="17">
        <v>2</v>
      </c>
      <c r="H57" s="17">
        <f>ROUND(F57*AE57,2)</f>
        <v>0</v>
      </c>
      <c r="I57" s="17">
        <f>J57-H57</f>
        <v>0</v>
      </c>
      <c r="J57" s="17">
        <f>ROUND(F57*G57,2)</f>
        <v>0</v>
      </c>
      <c r="K57" s="17">
        <v>0</v>
      </c>
      <c r="L57" s="17">
        <f>F57*K57</f>
        <v>0</v>
      </c>
      <c r="M57" s="30"/>
      <c r="N57" s="30" t="s">
        <v>7</v>
      </c>
      <c r="O57" s="17">
        <f>IF(N57="5",I57,0)</f>
        <v>0</v>
      </c>
      <c r="Z57" s="17">
        <f>IF(AD57=0,J57,0)</f>
        <v>0</v>
      </c>
      <c r="AA57" s="17">
        <f>IF(AD57=15,J57,0)</f>
        <v>0</v>
      </c>
      <c r="AB57" s="17">
        <f>IF(AD57=21,J57,0)</f>
        <v>0</v>
      </c>
      <c r="AD57" s="35">
        <v>21</v>
      </c>
      <c r="AE57" s="35">
        <f>G57*0</f>
        <v>0</v>
      </c>
      <c r="AF57" s="35">
        <f>G57*(1-0)</f>
        <v>0</v>
      </c>
    </row>
    <row r="58" spans="1:32" ht="12.75">
      <c r="A58" s="4" t="s">
        <v>49</v>
      </c>
      <c r="B58" s="4"/>
      <c r="C58" s="4" t="s">
        <v>108</v>
      </c>
      <c r="D58" s="4" t="s">
        <v>172</v>
      </c>
      <c r="E58" s="4" t="s">
        <v>192</v>
      </c>
      <c r="F58" s="17">
        <v>7</v>
      </c>
      <c r="H58" s="17">
        <f>ROUND(F58*AE58,2)</f>
        <v>0</v>
      </c>
      <c r="I58" s="17">
        <f>J58-H58</f>
        <v>0</v>
      </c>
      <c r="J58" s="17">
        <f>ROUND(F58*G58,2)</f>
        <v>0</v>
      </c>
      <c r="K58" s="17">
        <v>0</v>
      </c>
      <c r="L58" s="17">
        <f>F58*K58</f>
        <v>0</v>
      </c>
      <c r="M58" s="30"/>
      <c r="N58" s="30" t="s">
        <v>7</v>
      </c>
      <c r="O58" s="17">
        <f>IF(N58="5",I58,0)</f>
        <v>0</v>
      </c>
      <c r="Z58" s="17">
        <f>IF(AD58=0,J58,0)</f>
        <v>0</v>
      </c>
      <c r="AA58" s="17">
        <f>IF(AD58=15,J58,0)</f>
        <v>0</v>
      </c>
      <c r="AB58" s="17">
        <f>IF(AD58=21,J58,0)</f>
        <v>0</v>
      </c>
      <c r="AD58" s="35">
        <v>21</v>
      </c>
      <c r="AE58" s="35">
        <f>G58*0</f>
        <v>0</v>
      </c>
      <c r="AF58" s="35">
        <f>G58*(1-0)</f>
        <v>0</v>
      </c>
    </row>
    <row r="59" spans="1:32" ht="12.75">
      <c r="A59" s="4" t="s">
        <v>50</v>
      </c>
      <c r="B59" s="4"/>
      <c r="C59" s="4" t="s">
        <v>109</v>
      </c>
      <c r="D59" s="4" t="s">
        <v>173</v>
      </c>
      <c r="E59" s="4"/>
      <c r="F59" s="17">
        <v>1</v>
      </c>
      <c r="H59" s="17">
        <f>ROUND(F59*AE59,2)</f>
        <v>0</v>
      </c>
      <c r="I59" s="17">
        <f>J59-H59</f>
        <v>0</v>
      </c>
      <c r="J59" s="17">
        <f>ROUND(F59*G59,2)</f>
        <v>0</v>
      </c>
      <c r="K59" s="17">
        <v>0</v>
      </c>
      <c r="L59" s="17">
        <f>F59*K59</f>
        <v>0</v>
      </c>
      <c r="M59" s="30"/>
      <c r="N59" s="30" t="s">
        <v>7</v>
      </c>
      <c r="O59" s="17">
        <f>IF(N59="5",I59,0)</f>
        <v>0</v>
      </c>
      <c r="Z59" s="17">
        <f>IF(AD59=0,J59,0)</f>
        <v>0</v>
      </c>
      <c r="AA59" s="17">
        <f>IF(AD59=15,J59,0)</f>
        <v>0</v>
      </c>
      <c r="AB59" s="17">
        <f>IF(AD59=21,J59,0)</f>
        <v>0</v>
      </c>
      <c r="AD59" s="35">
        <v>21</v>
      </c>
      <c r="AE59" s="35">
        <f>G59*0</f>
        <v>0</v>
      </c>
      <c r="AF59" s="35">
        <f>G59*(1-0)</f>
        <v>0</v>
      </c>
    </row>
    <row r="60" spans="1:37" ht="12.75">
      <c r="A60" s="5"/>
      <c r="B60" s="13"/>
      <c r="C60" s="13" t="s">
        <v>110</v>
      </c>
      <c r="D60" s="80" t="s">
        <v>174</v>
      </c>
      <c r="E60" s="81"/>
      <c r="F60" s="81"/>
      <c r="G60" s="81"/>
      <c r="H60" s="37">
        <f>SUM(H61:H61)</f>
        <v>0</v>
      </c>
      <c r="I60" s="37">
        <f>SUM(I61:I61)</f>
        <v>0</v>
      </c>
      <c r="J60" s="37">
        <f>H60+I60</f>
        <v>0</v>
      </c>
      <c r="K60" s="27"/>
      <c r="L60" s="37">
        <f>SUM(L61:L61)</f>
        <v>0</v>
      </c>
      <c r="M60" s="27"/>
      <c r="P60" s="37">
        <f>IF(Q60="PR",J60,SUM(O61:O61))</f>
        <v>0</v>
      </c>
      <c r="Q60" s="27" t="s">
        <v>220</v>
      </c>
      <c r="R60" s="37">
        <f>IF(Q60="HS",H60,0)</f>
        <v>0</v>
      </c>
      <c r="S60" s="37">
        <f>IF(Q60="HS",I60-P60,0)</f>
        <v>0</v>
      </c>
      <c r="T60" s="37">
        <f>IF(Q60="PS",H60,0)</f>
        <v>0</v>
      </c>
      <c r="U60" s="37">
        <f>IF(Q60="PS",I60-P60,0)</f>
        <v>0</v>
      </c>
      <c r="V60" s="37">
        <f>IF(Q60="MP",H60,0)</f>
        <v>0</v>
      </c>
      <c r="W60" s="37">
        <f>IF(Q60="MP",I60-P60,0)</f>
        <v>0</v>
      </c>
      <c r="X60" s="37">
        <f>IF(Q60="OM",H60,0)</f>
        <v>0</v>
      </c>
      <c r="Y60" s="27"/>
      <c r="AI60" s="37">
        <f>SUM(Z61:Z61)</f>
        <v>0</v>
      </c>
      <c r="AJ60" s="37">
        <f>SUM(AA61:AA61)</f>
        <v>0</v>
      </c>
      <c r="AK60" s="37">
        <f>SUM(AB61:AB61)</f>
        <v>0</v>
      </c>
    </row>
    <row r="61" spans="1:32" ht="12.75">
      <c r="A61" s="4" t="s">
        <v>51</v>
      </c>
      <c r="B61" s="4"/>
      <c r="C61" s="4" t="s">
        <v>111</v>
      </c>
      <c r="D61" s="4" t="s">
        <v>175</v>
      </c>
      <c r="E61" s="4" t="s">
        <v>194</v>
      </c>
      <c r="F61" s="17">
        <v>1</v>
      </c>
      <c r="H61" s="17">
        <f>ROUND(F61*AE61,2)</f>
        <v>0</v>
      </c>
      <c r="I61" s="17">
        <f>J61-H61</f>
        <v>0</v>
      </c>
      <c r="J61" s="17">
        <f>ROUND(F61*G61,2)</f>
        <v>0</v>
      </c>
      <c r="K61" s="17">
        <v>0</v>
      </c>
      <c r="L61" s="17">
        <f>F61*K61</f>
        <v>0</v>
      </c>
      <c r="M61" s="30"/>
      <c r="N61" s="30" t="s">
        <v>7</v>
      </c>
      <c r="O61" s="17">
        <f>IF(N61="5",I61,0)</f>
        <v>0</v>
      </c>
      <c r="Z61" s="17">
        <f>IF(AD61=0,J61,0)</f>
        <v>0</v>
      </c>
      <c r="AA61" s="17">
        <f>IF(AD61=15,J61,0)</f>
        <v>0</v>
      </c>
      <c r="AB61" s="17">
        <f>IF(AD61=21,J61,0)</f>
        <v>0</v>
      </c>
      <c r="AD61" s="35">
        <v>21</v>
      </c>
      <c r="AE61" s="35">
        <f>G61*0</f>
        <v>0</v>
      </c>
      <c r="AF61" s="35">
        <f>G61*(1-0)</f>
        <v>0</v>
      </c>
    </row>
    <row r="62" spans="1:37" ht="12.75">
      <c r="A62" s="5"/>
      <c r="B62" s="13"/>
      <c r="C62" s="13"/>
      <c r="D62" s="80" t="s">
        <v>176</v>
      </c>
      <c r="E62" s="81"/>
      <c r="F62" s="81"/>
      <c r="G62" s="81"/>
      <c r="H62" s="37">
        <f>SUM(H63:H71)</f>
        <v>0</v>
      </c>
      <c r="I62" s="37">
        <f>SUM(I63:I71)</f>
        <v>0</v>
      </c>
      <c r="J62" s="37">
        <f>H62+I62</f>
        <v>0</v>
      </c>
      <c r="K62" s="27"/>
      <c r="L62" s="37">
        <f>SUM(L63:L71)</f>
        <v>0.030494799999999996</v>
      </c>
      <c r="M62" s="27"/>
      <c r="P62" s="37">
        <f>IF(Q62="PR",J62,SUM(O63:O71))</f>
        <v>0</v>
      </c>
      <c r="Q62" s="27" t="s">
        <v>221</v>
      </c>
      <c r="R62" s="37">
        <f>IF(Q62="HS",H62,0)</f>
        <v>0</v>
      </c>
      <c r="S62" s="37">
        <f>IF(Q62="HS",I62-P62,0)</f>
        <v>0</v>
      </c>
      <c r="T62" s="37">
        <f>IF(Q62="PS",H62,0)</f>
        <v>0</v>
      </c>
      <c r="U62" s="37">
        <f>IF(Q62="PS",I62-P62,0)</f>
        <v>0</v>
      </c>
      <c r="V62" s="37">
        <f>IF(Q62="MP",H62,0)</f>
        <v>0</v>
      </c>
      <c r="W62" s="37">
        <f>IF(Q62="MP",I62-P62,0)</f>
        <v>0</v>
      </c>
      <c r="X62" s="37">
        <f>IF(Q62="OM",H62,0)</f>
        <v>0</v>
      </c>
      <c r="Y62" s="27"/>
      <c r="AI62" s="37">
        <f>SUM(Z63:Z71)</f>
        <v>0</v>
      </c>
      <c r="AJ62" s="37">
        <f>SUM(AA63:AA71)</f>
        <v>0</v>
      </c>
      <c r="AK62" s="37">
        <f>SUM(AB63:AB71)</f>
        <v>0</v>
      </c>
    </row>
    <row r="63" spans="1:32" ht="12.75">
      <c r="A63" s="6" t="s">
        <v>52</v>
      </c>
      <c r="B63" s="6"/>
      <c r="C63" s="6" t="s">
        <v>112</v>
      </c>
      <c r="D63" s="6" t="s">
        <v>177</v>
      </c>
      <c r="E63" s="6" t="s">
        <v>191</v>
      </c>
      <c r="F63" s="18">
        <v>20.04</v>
      </c>
      <c r="H63" s="18">
        <f aca="true" t="shared" si="24" ref="H63:H71">ROUND(F63*AE63,2)</f>
        <v>0</v>
      </c>
      <c r="I63" s="18">
        <f aca="true" t="shared" si="25" ref="I63:I71">J63-H63</f>
        <v>0</v>
      </c>
      <c r="J63" s="18">
        <f aca="true" t="shared" si="26" ref="J63:J71">ROUND(F63*G63,2)</f>
        <v>0</v>
      </c>
      <c r="K63" s="18">
        <v>1E-05</v>
      </c>
      <c r="L63" s="18">
        <f aca="true" t="shared" si="27" ref="L63:L71">F63*K63</f>
        <v>0.00020040000000000002</v>
      </c>
      <c r="M63" s="31" t="s">
        <v>215</v>
      </c>
      <c r="N63" s="31" t="s">
        <v>216</v>
      </c>
      <c r="O63" s="18">
        <f aca="true" t="shared" si="28" ref="O63:O71">IF(N63="5",I63,0)</f>
        <v>0</v>
      </c>
      <c r="Z63" s="18">
        <f aca="true" t="shared" si="29" ref="Z63:Z71">IF(AD63=0,J63,0)</f>
        <v>0</v>
      </c>
      <c r="AA63" s="18">
        <f aca="true" t="shared" si="30" ref="AA63:AA71">IF(AD63=15,J63,0)</f>
        <v>0</v>
      </c>
      <c r="AB63" s="18">
        <f aca="true" t="shared" si="31" ref="AB63:AB71">IF(AD63=21,J63,0)</f>
        <v>0</v>
      </c>
      <c r="AD63" s="35">
        <v>21</v>
      </c>
      <c r="AE63" s="35">
        <f aca="true" t="shared" si="32" ref="AE63:AE71">G63*1</f>
        <v>0</v>
      </c>
      <c r="AF63" s="35">
        <f aca="true" t="shared" si="33" ref="AF63:AF71">G63*(1-1)</f>
        <v>0</v>
      </c>
    </row>
    <row r="64" spans="1:32" ht="12.75">
      <c r="A64" s="6" t="s">
        <v>53</v>
      </c>
      <c r="B64" s="6"/>
      <c r="C64" s="6" t="s">
        <v>113</v>
      </c>
      <c r="D64" s="6" t="s">
        <v>178</v>
      </c>
      <c r="E64" s="6" t="s">
        <v>191</v>
      </c>
      <c r="F64" s="18">
        <v>6</v>
      </c>
      <c r="H64" s="18">
        <f t="shared" si="24"/>
        <v>0</v>
      </c>
      <c r="I64" s="18">
        <f t="shared" si="25"/>
        <v>0</v>
      </c>
      <c r="J64" s="18">
        <f t="shared" si="26"/>
        <v>0</v>
      </c>
      <c r="K64" s="18">
        <v>2E-05</v>
      </c>
      <c r="L64" s="18">
        <f t="shared" si="27"/>
        <v>0.00012000000000000002</v>
      </c>
      <c r="M64" s="31" t="s">
        <v>215</v>
      </c>
      <c r="N64" s="31" t="s">
        <v>216</v>
      </c>
      <c r="O64" s="18">
        <f t="shared" si="28"/>
        <v>0</v>
      </c>
      <c r="Z64" s="18">
        <f t="shared" si="29"/>
        <v>0</v>
      </c>
      <c r="AA64" s="18">
        <f t="shared" si="30"/>
        <v>0</v>
      </c>
      <c r="AB64" s="18">
        <f t="shared" si="31"/>
        <v>0</v>
      </c>
      <c r="AD64" s="35">
        <v>21</v>
      </c>
      <c r="AE64" s="35">
        <f t="shared" si="32"/>
        <v>0</v>
      </c>
      <c r="AF64" s="35">
        <f t="shared" si="33"/>
        <v>0</v>
      </c>
    </row>
    <row r="65" spans="1:32" ht="12.75">
      <c r="A65" s="6" t="s">
        <v>54</v>
      </c>
      <c r="B65" s="6"/>
      <c r="C65" s="6" t="s">
        <v>114</v>
      </c>
      <c r="D65" s="6" t="s">
        <v>179</v>
      </c>
      <c r="E65" s="6" t="s">
        <v>191</v>
      </c>
      <c r="F65" s="18">
        <v>8</v>
      </c>
      <c r="H65" s="18">
        <f t="shared" si="24"/>
        <v>0</v>
      </c>
      <c r="I65" s="18">
        <f t="shared" si="25"/>
        <v>0</v>
      </c>
      <c r="J65" s="18">
        <f t="shared" si="26"/>
        <v>0</v>
      </c>
      <c r="K65" s="18">
        <v>3E-05</v>
      </c>
      <c r="L65" s="18">
        <f t="shared" si="27"/>
        <v>0.00024</v>
      </c>
      <c r="M65" s="31" t="s">
        <v>215</v>
      </c>
      <c r="N65" s="31" t="s">
        <v>216</v>
      </c>
      <c r="O65" s="18">
        <f t="shared" si="28"/>
        <v>0</v>
      </c>
      <c r="Z65" s="18">
        <f t="shared" si="29"/>
        <v>0</v>
      </c>
      <c r="AA65" s="18">
        <f t="shared" si="30"/>
        <v>0</v>
      </c>
      <c r="AB65" s="18">
        <f t="shared" si="31"/>
        <v>0</v>
      </c>
      <c r="AD65" s="35">
        <v>21</v>
      </c>
      <c r="AE65" s="35">
        <f t="shared" si="32"/>
        <v>0</v>
      </c>
      <c r="AF65" s="35">
        <f t="shared" si="33"/>
        <v>0</v>
      </c>
    </row>
    <row r="66" spans="1:32" ht="12.75">
      <c r="A66" s="6" t="s">
        <v>55</v>
      </c>
      <c r="B66" s="6"/>
      <c r="C66" s="6" t="s">
        <v>115</v>
      </c>
      <c r="D66" s="6" t="s">
        <v>180</v>
      </c>
      <c r="E66" s="6" t="s">
        <v>191</v>
      </c>
      <c r="F66" s="18">
        <v>10.28</v>
      </c>
      <c r="H66" s="18">
        <f t="shared" si="24"/>
        <v>0</v>
      </c>
      <c r="I66" s="18">
        <f t="shared" si="25"/>
        <v>0</v>
      </c>
      <c r="J66" s="18">
        <f t="shared" si="26"/>
        <v>0</v>
      </c>
      <c r="K66" s="18">
        <v>8E-05</v>
      </c>
      <c r="L66" s="18">
        <f t="shared" si="27"/>
        <v>0.0008224</v>
      </c>
      <c r="M66" s="31" t="s">
        <v>215</v>
      </c>
      <c r="N66" s="31" t="s">
        <v>216</v>
      </c>
      <c r="O66" s="18">
        <f t="shared" si="28"/>
        <v>0</v>
      </c>
      <c r="Z66" s="18">
        <f t="shared" si="29"/>
        <v>0</v>
      </c>
      <c r="AA66" s="18">
        <f t="shared" si="30"/>
        <v>0</v>
      </c>
      <c r="AB66" s="18">
        <f t="shared" si="31"/>
        <v>0</v>
      </c>
      <c r="AD66" s="35">
        <v>21</v>
      </c>
      <c r="AE66" s="35">
        <f t="shared" si="32"/>
        <v>0</v>
      </c>
      <c r="AF66" s="35">
        <f t="shared" si="33"/>
        <v>0</v>
      </c>
    </row>
    <row r="67" spans="1:32" ht="12.75">
      <c r="A67" s="6" t="s">
        <v>56</v>
      </c>
      <c r="B67" s="6"/>
      <c r="C67" s="6" t="s">
        <v>116</v>
      </c>
      <c r="D67" s="6" t="s">
        <v>181</v>
      </c>
      <c r="E67" s="6" t="s">
        <v>191</v>
      </c>
      <c r="F67" s="18">
        <v>8.9</v>
      </c>
      <c r="H67" s="18">
        <f t="shared" si="24"/>
        <v>0</v>
      </c>
      <c r="I67" s="18">
        <f t="shared" si="25"/>
        <v>0</v>
      </c>
      <c r="J67" s="18">
        <f t="shared" si="26"/>
        <v>0</v>
      </c>
      <c r="K67" s="18">
        <v>8E-05</v>
      </c>
      <c r="L67" s="18">
        <f t="shared" si="27"/>
        <v>0.0007120000000000001</v>
      </c>
      <c r="M67" s="31" t="s">
        <v>215</v>
      </c>
      <c r="N67" s="31" t="s">
        <v>216</v>
      </c>
      <c r="O67" s="18">
        <f t="shared" si="28"/>
        <v>0</v>
      </c>
      <c r="Z67" s="18">
        <f t="shared" si="29"/>
        <v>0</v>
      </c>
      <c r="AA67" s="18">
        <f t="shared" si="30"/>
        <v>0</v>
      </c>
      <c r="AB67" s="18">
        <f t="shared" si="31"/>
        <v>0</v>
      </c>
      <c r="AD67" s="35">
        <v>21</v>
      </c>
      <c r="AE67" s="35">
        <f t="shared" si="32"/>
        <v>0</v>
      </c>
      <c r="AF67" s="35">
        <f t="shared" si="33"/>
        <v>0</v>
      </c>
    </row>
    <row r="68" spans="1:32" ht="12.75">
      <c r="A68" s="6" t="s">
        <v>57</v>
      </c>
      <c r="B68" s="6"/>
      <c r="C68" s="6" t="s">
        <v>117</v>
      </c>
      <c r="D68" s="6" t="s">
        <v>182</v>
      </c>
      <c r="E68" s="6" t="s">
        <v>192</v>
      </c>
      <c r="F68" s="18">
        <v>1</v>
      </c>
      <c r="H68" s="18">
        <f t="shared" si="24"/>
        <v>0</v>
      </c>
      <c r="I68" s="18">
        <f t="shared" si="25"/>
        <v>0</v>
      </c>
      <c r="J68" s="18">
        <f t="shared" si="26"/>
        <v>0</v>
      </c>
      <c r="K68" s="18">
        <v>0.006</v>
      </c>
      <c r="L68" s="18">
        <f t="shared" si="27"/>
        <v>0.006</v>
      </c>
      <c r="M68" s="31" t="s">
        <v>215</v>
      </c>
      <c r="N68" s="31" t="s">
        <v>216</v>
      </c>
      <c r="O68" s="18">
        <f t="shared" si="28"/>
        <v>0</v>
      </c>
      <c r="Z68" s="18">
        <f t="shared" si="29"/>
        <v>0</v>
      </c>
      <c r="AA68" s="18">
        <f t="shared" si="30"/>
        <v>0</v>
      </c>
      <c r="AB68" s="18">
        <f t="shared" si="31"/>
        <v>0</v>
      </c>
      <c r="AD68" s="35">
        <v>21</v>
      </c>
      <c r="AE68" s="35">
        <f t="shared" si="32"/>
        <v>0</v>
      </c>
      <c r="AF68" s="35">
        <f t="shared" si="33"/>
        <v>0</v>
      </c>
    </row>
    <row r="69" spans="1:32" ht="12.75">
      <c r="A69" s="6" t="s">
        <v>58</v>
      </c>
      <c r="B69" s="6"/>
      <c r="C69" s="6" t="s">
        <v>118</v>
      </c>
      <c r="D69" s="6" t="s">
        <v>183</v>
      </c>
      <c r="E69" s="6" t="s">
        <v>192</v>
      </c>
      <c r="F69" s="18">
        <v>1</v>
      </c>
      <c r="H69" s="18">
        <f t="shared" si="24"/>
        <v>0</v>
      </c>
      <c r="I69" s="18">
        <f t="shared" si="25"/>
        <v>0</v>
      </c>
      <c r="J69" s="18">
        <f t="shared" si="26"/>
        <v>0</v>
      </c>
      <c r="K69" s="18">
        <v>0.018</v>
      </c>
      <c r="L69" s="18">
        <f t="shared" si="27"/>
        <v>0.018</v>
      </c>
      <c r="M69" s="31" t="s">
        <v>215</v>
      </c>
      <c r="N69" s="31" t="s">
        <v>216</v>
      </c>
      <c r="O69" s="18">
        <f t="shared" si="28"/>
        <v>0</v>
      </c>
      <c r="Z69" s="18">
        <f t="shared" si="29"/>
        <v>0</v>
      </c>
      <c r="AA69" s="18">
        <f t="shared" si="30"/>
        <v>0</v>
      </c>
      <c r="AB69" s="18">
        <f t="shared" si="31"/>
        <v>0</v>
      </c>
      <c r="AD69" s="35">
        <v>21</v>
      </c>
      <c r="AE69" s="35">
        <f t="shared" si="32"/>
        <v>0</v>
      </c>
      <c r="AF69" s="35">
        <f t="shared" si="33"/>
        <v>0</v>
      </c>
    </row>
    <row r="70" spans="1:32" ht="12.75">
      <c r="A70" s="6" t="s">
        <v>59</v>
      </c>
      <c r="B70" s="6"/>
      <c r="C70" s="6" t="s">
        <v>119</v>
      </c>
      <c r="D70" s="6" t="s">
        <v>184</v>
      </c>
      <c r="E70" s="6" t="s">
        <v>192</v>
      </c>
      <c r="F70" s="18">
        <v>2</v>
      </c>
      <c r="H70" s="18">
        <f t="shared" si="24"/>
        <v>0</v>
      </c>
      <c r="I70" s="18">
        <f t="shared" si="25"/>
        <v>0</v>
      </c>
      <c r="J70" s="18">
        <f t="shared" si="26"/>
        <v>0</v>
      </c>
      <c r="K70" s="18">
        <v>0.0007</v>
      </c>
      <c r="L70" s="18">
        <f t="shared" si="27"/>
        <v>0.0014</v>
      </c>
      <c r="M70" s="31" t="s">
        <v>215</v>
      </c>
      <c r="N70" s="31" t="s">
        <v>216</v>
      </c>
      <c r="O70" s="18">
        <f t="shared" si="28"/>
        <v>0</v>
      </c>
      <c r="Z70" s="18">
        <f t="shared" si="29"/>
        <v>0</v>
      </c>
      <c r="AA70" s="18">
        <f t="shared" si="30"/>
        <v>0</v>
      </c>
      <c r="AB70" s="18">
        <f t="shared" si="31"/>
        <v>0</v>
      </c>
      <c r="AD70" s="35">
        <v>21</v>
      </c>
      <c r="AE70" s="35">
        <f t="shared" si="32"/>
        <v>0</v>
      </c>
      <c r="AF70" s="35">
        <f t="shared" si="33"/>
        <v>0</v>
      </c>
    </row>
    <row r="71" spans="1:32" ht="12.75">
      <c r="A71" s="7" t="s">
        <v>60</v>
      </c>
      <c r="B71" s="7"/>
      <c r="C71" s="7" t="s">
        <v>120</v>
      </c>
      <c r="D71" s="7" t="s">
        <v>185</v>
      </c>
      <c r="E71" s="7" t="s">
        <v>192</v>
      </c>
      <c r="F71" s="19">
        <v>3</v>
      </c>
      <c r="G71" s="22"/>
      <c r="H71" s="19">
        <f t="shared" si="24"/>
        <v>0</v>
      </c>
      <c r="I71" s="19">
        <f t="shared" si="25"/>
        <v>0</v>
      </c>
      <c r="J71" s="19">
        <f t="shared" si="26"/>
        <v>0</v>
      </c>
      <c r="K71" s="19">
        <v>0.001</v>
      </c>
      <c r="L71" s="19">
        <f t="shared" si="27"/>
        <v>0.003</v>
      </c>
      <c r="M71" s="32" t="s">
        <v>215</v>
      </c>
      <c r="N71" s="31" t="s">
        <v>216</v>
      </c>
      <c r="O71" s="18">
        <f t="shared" si="28"/>
        <v>0</v>
      </c>
      <c r="Z71" s="18">
        <f t="shared" si="29"/>
        <v>0</v>
      </c>
      <c r="AA71" s="18">
        <f t="shared" si="30"/>
        <v>0</v>
      </c>
      <c r="AB71" s="18">
        <f t="shared" si="31"/>
        <v>0</v>
      </c>
      <c r="AD71" s="35">
        <v>21</v>
      </c>
      <c r="AE71" s="35">
        <f t="shared" si="32"/>
        <v>0</v>
      </c>
      <c r="AF71" s="35">
        <f t="shared" si="33"/>
        <v>0</v>
      </c>
    </row>
    <row r="72" spans="1:28" ht="12.75">
      <c r="A72" s="8"/>
      <c r="B72" s="8"/>
      <c r="C72" s="8"/>
      <c r="D72" s="8"/>
      <c r="E72" s="8"/>
      <c r="F72" s="8"/>
      <c r="G72" s="8"/>
      <c r="H72" s="82" t="s">
        <v>200</v>
      </c>
      <c r="I72" s="83"/>
      <c r="J72" s="38">
        <f>J12+J20+J42+J54+J60+J62</f>
        <v>0</v>
      </c>
      <c r="K72" s="8"/>
      <c r="L72" s="8"/>
      <c r="M72" s="8"/>
      <c r="Z72" s="39">
        <f>SUM(Z13:Z71)</f>
        <v>0</v>
      </c>
      <c r="AA72" s="39">
        <f>SUM(AA13:AA71)</f>
        <v>0</v>
      </c>
      <c r="AB72" s="39">
        <f>SUM(AB13:AB71)</f>
        <v>0</v>
      </c>
    </row>
    <row r="73" ht="11.25" customHeight="1">
      <c r="A73" s="9" t="s">
        <v>61</v>
      </c>
    </row>
    <row r="74" spans="1:13" ht="409.5" customHeight="1" hidden="1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</row>
  </sheetData>
  <sheetProtection/>
  <mergeCells count="35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D60:G60"/>
    <mergeCell ref="D62:G62"/>
    <mergeCell ref="H72:I72"/>
    <mergeCell ref="A74:M74"/>
    <mergeCell ref="H10:J10"/>
    <mergeCell ref="K10:L10"/>
    <mergeCell ref="D12:G12"/>
    <mergeCell ref="D20:G20"/>
    <mergeCell ref="D42:G42"/>
    <mergeCell ref="D54:G54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A1" sqref="A1:F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99" t="s">
        <v>229</v>
      </c>
      <c r="B1" s="100"/>
      <c r="C1" s="100"/>
      <c r="D1" s="100"/>
      <c r="E1" s="100"/>
      <c r="F1" s="100"/>
      <c r="G1" s="22"/>
    </row>
    <row r="2" spans="1:8" ht="12.75">
      <c r="A2" s="101" t="s">
        <v>1</v>
      </c>
      <c r="B2" s="103" t="s">
        <v>121</v>
      </c>
      <c r="C2" s="83"/>
      <c r="D2" s="106" t="s">
        <v>201</v>
      </c>
      <c r="E2" s="106" t="s">
        <v>206</v>
      </c>
      <c r="F2" s="102"/>
      <c r="G2" s="107"/>
      <c r="H2" s="33"/>
    </row>
    <row r="3" spans="1:8" ht="12.75">
      <c r="A3" s="98"/>
      <c r="B3" s="104"/>
      <c r="C3" s="104"/>
      <c r="D3" s="85"/>
      <c r="E3" s="85"/>
      <c r="F3" s="85"/>
      <c r="G3" s="96"/>
      <c r="H3" s="33"/>
    </row>
    <row r="4" spans="1:8" ht="12.75">
      <c r="A4" s="91" t="s">
        <v>2</v>
      </c>
      <c r="B4" s="84" t="s">
        <v>122</v>
      </c>
      <c r="C4" s="85"/>
      <c r="D4" s="84" t="s">
        <v>202</v>
      </c>
      <c r="E4" s="84" t="s">
        <v>207</v>
      </c>
      <c r="F4" s="85"/>
      <c r="G4" s="96"/>
      <c r="H4" s="33"/>
    </row>
    <row r="5" spans="1:8" ht="12.75">
      <c r="A5" s="98"/>
      <c r="B5" s="85"/>
      <c r="C5" s="85"/>
      <c r="D5" s="85"/>
      <c r="E5" s="85"/>
      <c r="F5" s="85"/>
      <c r="G5" s="96"/>
      <c r="H5" s="33"/>
    </row>
    <row r="6" spans="1:8" ht="12.75">
      <c r="A6" s="91" t="s">
        <v>3</v>
      </c>
      <c r="B6" s="84" t="s">
        <v>123</v>
      </c>
      <c r="C6" s="85"/>
      <c r="D6" s="84" t="s">
        <v>203</v>
      </c>
      <c r="E6" s="84" t="s">
        <v>208</v>
      </c>
      <c r="F6" s="85"/>
      <c r="G6" s="96"/>
      <c r="H6" s="33"/>
    </row>
    <row r="7" spans="1:8" ht="12.75">
      <c r="A7" s="98"/>
      <c r="B7" s="85"/>
      <c r="C7" s="85"/>
      <c r="D7" s="85"/>
      <c r="E7" s="85"/>
      <c r="F7" s="85"/>
      <c r="G7" s="96"/>
      <c r="H7" s="33"/>
    </row>
    <row r="8" spans="1:8" ht="12.75">
      <c r="A8" s="91" t="s">
        <v>204</v>
      </c>
      <c r="B8" s="84" t="s">
        <v>209</v>
      </c>
      <c r="C8" s="85"/>
      <c r="D8" s="94" t="s">
        <v>189</v>
      </c>
      <c r="E8" s="95">
        <v>41797</v>
      </c>
      <c r="F8" s="85"/>
      <c r="G8" s="96"/>
      <c r="H8" s="33"/>
    </row>
    <row r="9" spans="1:8" ht="12.75">
      <c r="A9" s="92"/>
      <c r="B9" s="93"/>
      <c r="C9" s="93"/>
      <c r="D9" s="93"/>
      <c r="E9" s="93"/>
      <c r="F9" s="93"/>
      <c r="G9" s="97"/>
      <c r="H9" s="33"/>
    </row>
    <row r="10" spans="1:8" ht="12.75">
      <c r="A10" s="40" t="s">
        <v>62</v>
      </c>
      <c r="B10" s="42" t="s">
        <v>63</v>
      </c>
      <c r="C10" s="43" t="s">
        <v>230</v>
      </c>
      <c r="D10" s="44" t="s">
        <v>231</v>
      </c>
      <c r="E10" s="44" t="s">
        <v>232</v>
      </c>
      <c r="F10" s="44" t="s">
        <v>233</v>
      </c>
      <c r="G10" s="47" t="s">
        <v>234</v>
      </c>
      <c r="H10" s="34"/>
    </row>
    <row r="11" spans="1:9" ht="12.75">
      <c r="A11" s="41"/>
      <c r="B11" s="41" t="s">
        <v>64</v>
      </c>
      <c r="C11" s="41" t="s">
        <v>126</v>
      </c>
      <c r="D11" s="45"/>
      <c r="E11" s="45"/>
      <c r="F11" s="48">
        <f aca="true" t="shared" si="0" ref="F11:F16">D11+E11</f>
        <v>0</v>
      </c>
      <c r="G11" s="48">
        <v>0.06044</v>
      </c>
      <c r="H11" s="35" t="s">
        <v>235</v>
      </c>
      <c r="I11" s="35">
        <f aca="true" t="shared" si="1" ref="I11:I16">IF(H11="T",0,F11)</f>
        <v>0</v>
      </c>
    </row>
    <row r="12" spans="1:9" ht="12.75">
      <c r="A12" s="15"/>
      <c r="B12" s="15" t="s">
        <v>72</v>
      </c>
      <c r="C12" s="15" t="s">
        <v>134</v>
      </c>
      <c r="F12" s="35">
        <f t="shared" si="0"/>
        <v>0</v>
      </c>
      <c r="G12" s="35">
        <v>0.2924</v>
      </c>
      <c r="H12" s="35" t="s">
        <v>235</v>
      </c>
      <c r="I12" s="35">
        <f t="shared" si="1"/>
        <v>0</v>
      </c>
    </row>
    <row r="13" spans="1:9" ht="12.75">
      <c r="A13" s="15"/>
      <c r="B13" s="15" t="s">
        <v>92</v>
      </c>
      <c r="C13" s="15" t="s">
        <v>156</v>
      </c>
      <c r="F13" s="35">
        <f t="shared" si="0"/>
        <v>0</v>
      </c>
      <c r="G13" s="35">
        <v>0.01229</v>
      </c>
      <c r="H13" s="35" t="s">
        <v>235</v>
      </c>
      <c r="I13" s="35">
        <f t="shared" si="1"/>
        <v>0</v>
      </c>
    </row>
    <row r="14" spans="1:9" ht="12.75">
      <c r="A14" s="15"/>
      <c r="B14" s="15" t="s">
        <v>104</v>
      </c>
      <c r="C14" s="15" t="s">
        <v>168</v>
      </c>
      <c r="F14" s="35">
        <f t="shared" si="0"/>
        <v>0</v>
      </c>
      <c r="G14" s="35">
        <v>0</v>
      </c>
      <c r="H14" s="35" t="s">
        <v>235</v>
      </c>
      <c r="I14" s="35">
        <f t="shared" si="1"/>
        <v>0</v>
      </c>
    </row>
    <row r="15" spans="1:9" ht="12.75">
      <c r="A15" s="15"/>
      <c r="B15" s="15" t="s">
        <v>110</v>
      </c>
      <c r="C15" s="15" t="s">
        <v>174</v>
      </c>
      <c r="F15" s="35">
        <f t="shared" si="0"/>
        <v>0</v>
      </c>
      <c r="G15" s="35">
        <v>0</v>
      </c>
      <c r="H15" s="35" t="s">
        <v>235</v>
      </c>
      <c r="I15" s="35">
        <f t="shared" si="1"/>
        <v>0</v>
      </c>
    </row>
    <row r="16" spans="1:9" ht="12.75">
      <c r="A16" s="15"/>
      <c r="B16" s="15"/>
      <c r="C16" s="15" t="s">
        <v>176</v>
      </c>
      <c r="F16" s="35">
        <f t="shared" si="0"/>
        <v>0</v>
      </c>
      <c r="G16" s="35">
        <v>0.03049</v>
      </c>
      <c r="H16" s="35" t="s">
        <v>235</v>
      </c>
      <c r="I16" s="35">
        <f t="shared" si="1"/>
        <v>0</v>
      </c>
    </row>
    <row r="18" spans="5:6" ht="12.75">
      <c r="E18" s="46" t="s">
        <v>200</v>
      </c>
      <c r="F18" s="39">
        <f>SUM(I11:I16)</f>
        <v>0</v>
      </c>
    </row>
  </sheetData>
  <sheetProtection/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56.00390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21.75" customHeight="1">
      <c r="A1" s="99" t="s">
        <v>236</v>
      </c>
      <c r="B1" s="100"/>
      <c r="C1" s="100"/>
      <c r="D1" s="100"/>
      <c r="E1" s="100"/>
      <c r="F1" s="100"/>
      <c r="G1" s="100"/>
      <c r="H1" s="100"/>
    </row>
    <row r="2" spans="1:9" ht="12.75">
      <c r="A2" s="101" t="s">
        <v>1</v>
      </c>
      <c r="B2" s="102"/>
      <c r="C2" s="103" t="s">
        <v>121</v>
      </c>
      <c r="D2" s="83"/>
      <c r="E2" s="106" t="s">
        <v>201</v>
      </c>
      <c r="F2" s="106" t="s">
        <v>206</v>
      </c>
      <c r="G2" s="102"/>
      <c r="H2" s="107"/>
      <c r="I2" s="33"/>
    </row>
    <row r="3" spans="1:9" ht="12.75">
      <c r="A3" s="98"/>
      <c r="B3" s="85"/>
      <c r="C3" s="104"/>
      <c r="D3" s="104"/>
      <c r="E3" s="85"/>
      <c r="F3" s="85"/>
      <c r="G3" s="85"/>
      <c r="H3" s="96"/>
      <c r="I3" s="33"/>
    </row>
    <row r="4" spans="1:9" ht="12.75">
      <c r="A4" s="91" t="s">
        <v>2</v>
      </c>
      <c r="B4" s="85"/>
      <c r="C4" s="84" t="s">
        <v>122</v>
      </c>
      <c r="D4" s="85"/>
      <c r="E4" s="84" t="s">
        <v>202</v>
      </c>
      <c r="F4" s="84" t="s">
        <v>207</v>
      </c>
      <c r="G4" s="85"/>
      <c r="H4" s="96"/>
      <c r="I4" s="33"/>
    </row>
    <row r="5" spans="1:9" ht="12.75">
      <c r="A5" s="98"/>
      <c r="B5" s="85"/>
      <c r="C5" s="85"/>
      <c r="D5" s="85"/>
      <c r="E5" s="85"/>
      <c r="F5" s="85"/>
      <c r="G5" s="85"/>
      <c r="H5" s="96"/>
      <c r="I5" s="33"/>
    </row>
    <row r="6" spans="1:9" ht="12.75">
      <c r="A6" s="91" t="s">
        <v>3</v>
      </c>
      <c r="B6" s="85"/>
      <c r="C6" s="84" t="s">
        <v>123</v>
      </c>
      <c r="D6" s="85"/>
      <c r="E6" s="84" t="s">
        <v>203</v>
      </c>
      <c r="F6" s="84" t="s">
        <v>208</v>
      </c>
      <c r="G6" s="85"/>
      <c r="H6" s="96"/>
      <c r="I6" s="33"/>
    </row>
    <row r="7" spans="1:9" ht="12.75">
      <c r="A7" s="98"/>
      <c r="B7" s="85"/>
      <c r="C7" s="85"/>
      <c r="D7" s="85"/>
      <c r="E7" s="85"/>
      <c r="F7" s="85"/>
      <c r="G7" s="85"/>
      <c r="H7" s="96"/>
      <c r="I7" s="33"/>
    </row>
    <row r="8" spans="1:9" ht="12.75">
      <c r="A8" s="91" t="s">
        <v>204</v>
      </c>
      <c r="B8" s="85"/>
      <c r="C8" s="84" t="s">
        <v>209</v>
      </c>
      <c r="D8" s="85"/>
      <c r="E8" s="94" t="s">
        <v>189</v>
      </c>
      <c r="F8" s="95">
        <v>41797</v>
      </c>
      <c r="G8" s="85"/>
      <c r="H8" s="96"/>
      <c r="I8" s="33"/>
    </row>
    <row r="9" spans="1:9" ht="12.75">
      <c r="A9" s="92"/>
      <c r="B9" s="93"/>
      <c r="C9" s="93"/>
      <c r="D9" s="93"/>
      <c r="E9" s="93"/>
      <c r="F9" s="93"/>
      <c r="G9" s="93"/>
      <c r="H9" s="97"/>
      <c r="I9" s="33"/>
    </row>
    <row r="10" spans="1:9" ht="12.75">
      <c r="A10" s="42" t="s">
        <v>5</v>
      </c>
      <c r="B10" s="43" t="s">
        <v>62</v>
      </c>
      <c r="C10" s="43" t="s">
        <v>63</v>
      </c>
      <c r="D10" s="43" t="s">
        <v>124</v>
      </c>
      <c r="E10" s="43" t="s">
        <v>190</v>
      </c>
      <c r="F10" s="43" t="s">
        <v>125</v>
      </c>
      <c r="G10" s="50" t="s">
        <v>195</v>
      </c>
      <c r="H10" s="40" t="s">
        <v>285</v>
      </c>
      <c r="I10" s="34"/>
    </row>
    <row r="11" spans="1:8" ht="12.75">
      <c r="A11" s="49" t="s">
        <v>7</v>
      </c>
      <c r="B11" s="49"/>
      <c r="C11" s="49" t="s">
        <v>65</v>
      </c>
      <c r="D11" s="49" t="s">
        <v>127</v>
      </c>
      <c r="E11" s="49" t="s">
        <v>191</v>
      </c>
      <c r="F11" s="49" t="s">
        <v>237</v>
      </c>
      <c r="G11" s="51">
        <v>0.5</v>
      </c>
      <c r="H11" s="52" t="s">
        <v>214</v>
      </c>
    </row>
    <row r="12" spans="1:7" ht="12.75">
      <c r="A12" s="4"/>
      <c r="B12" s="4"/>
      <c r="C12" s="4"/>
      <c r="D12" s="4"/>
      <c r="E12" s="4"/>
      <c r="F12" s="4"/>
      <c r="G12" s="17">
        <v>0</v>
      </c>
    </row>
    <row r="13" spans="1:8" ht="12.75">
      <c r="A13" s="4" t="s">
        <v>8</v>
      </c>
      <c r="B13" s="4"/>
      <c r="C13" s="4" t="s">
        <v>66</v>
      </c>
      <c r="D13" s="4" t="s">
        <v>128</v>
      </c>
      <c r="E13" s="4" t="s">
        <v>191</v>
      </c>
      <c r="F13" s="4" t="s">
        <v>238</v>
      </c>
      <c r="G13" s="17">
        <v>1.5</v>
      </c>
      <c r="H13" s="30" t="s">
        <v>214</v>
      </c>
    </row>
    <row r="14" spans="1:8" ht="12.75">
      <c r="A14" s="4" t="s">
        <v>9</v>
      </c>
      <c r="B14" s="4"/>
      <c r="C14" s="4" t="s">
        <v>67</v>
      </c>
      <c r="D14" s="4" t="s">
        <v>129</v>
      </c>
      <c r="E14" s="4" t="s">
        <v>192</v>
      </c>
      <c r="F14" s="4" t="s">
        <v>239</v>
      </c>
      <c r="G14" s="17">
        <v>1</v>
      </c>
      <c r="H14" s="30"/>
    </row>
    <row r="15" spans="1:8" ht="12.75">
      <c r="A15" s="4" t="s">
        <v>10</v>
      </c>
      <c r="B15" s="4"/>
      <c r="C15" s="4" t="s">
        <v>68</v>
      </c>
      <c r="D15" s="4" t="s">
        <v>130</v>
      </c>
      <c r="E15" s="4" t="s">
        <v>192</v>
      </c>
      <c r="F15" s="4" t="s">
        <v>239</v>
      </c>
      <c r="G15" s="17">
        <v>1</v>
      </c>
      <c r="H15" s="30"/>
    </row>
    <row r="16" spans="1:8" ht="12.75">
      <c r="A16" s="4" t="s">
        <v>11</v>
      </c>
      <c r="B16" s="4"/>
      <c r="C16" s="4" t="s">
        <v>69</v>
      </c>
      <c r="D16" s="4" t="s">
        <v>131</v>
      </c>
      <c r="E16" s="4" t="s">
        <v>191</v>
      </c>
      <c r="F16" s="4" t="s">
        <v>240</v>
      </c>
      <c r="G16" s="17">
        <v>2</v>
      </c>
      <c r="H16" s="30" t="s">
        <v>215</v>
      </c>
    </row>
    <row r="17" spans="1:8" ht="12.75">
      <c r="A17" s="4" t="s">
        <v>12</v>
      </c>
      <c r="B17" s="4"/>
      <c r="C17" s="4" t="s">
        <v>70</v>
      </c>
      <c r="D17" s="4" t="s">
        <v>132</v>
      </c>
      <c r="E17" s="4" t="s">
        <v>192</v>
      </c>
      <c r="F17" s="4" t="s">
        <v>241</v>
      </c>
      <c r="G17" s="17">
        <v>5</v>
      </c>
      <c r="H17" s="30"/>
    </row>
    <row r="18" spans="1:8" ht="12.75">
      <c r="A18" s="4" t="s">
        <v>13</v>
      </c>
      <c r="B18" s="4"/>
      <c r="C18" s="4" t="s">
        <v>71</v>
      </c>
      <c r="D18" s="4" t="s">
        <v>133</v>
      </c>
      <c r="E18" s="4" t="s">
        <v>193</v>
      </c>
      <c r="F18" s="4"/>
      <c r="G18" s="17">
        <v>0.06043</v>
      </c>
      <c r="H18" s="30" t="s">
        <v>215</v>
      </c>
    </row>
    <row r="19" spans="1:8" ht="12.75">
      <c r="A19" s="4" t="s">
        <v>14</v>
      </c>
      <c r="B19" s="4"/>
      <c r="C19" s="4" t="s">
        <v>73</v>
      </c>
      <c r="D19" s="4" t="s">
        <v>135</v>
      </c>
      <c r="E19" s="4" t="s">
        <v>191</v>
      </c>
      <c r="F19" s="4" t="s">
        <v>242</v>
      </c>
      <c r="G19" s="17">
        <v>1</v>
      </c>
      <c r="H19" s="30" t="s">
        <v>215</v>
      </c>
    </row>
    <row r="20" spans="1:8" ht="12.75">
      <c r="A20" s="4" t="s">
        <v>15</v>
      </c>
      <c r="B20" s="4"/>
      <c r="C20" s="4" t="s">
        <v>73</v>
      </c>
      <c r="D20" s="4" t="s">
        <v>136</v>
      </c>
      <c r="E20" s="4" t="s">
        <v>191</v>
      </c>
      <c r="F20" s="4" t="s">
        <v>243</v>
      </c>
      <c r="G20" s="17">
        <v>9.02</v>
      </c>
      <c r="H20" s="30" t="s">
        <v>215</v>
      </c>
    </row>
    <row r="21" spans="1:7" ht="12.75">
      <c r="A21" s="4"/>
      <c r="B21" s="4"/>
      <c r="C21" s="4"/>
      <c r="D21" s="4"/>
      <c r="E21" s="4"/>
      <c r="F21" s="4" t="s">
        <v>244</v>
      </c>
      <c r="G21" s="17">
        <v>2.25</v>
      </c>
    </row>
    <row r="22" spans="1:8" ht="12.75">
      <c r="A22" s="4" t="s">
        <v>16</v>
      </c>
      <c r="B22" s="4"/>
      <c r="C22" s="4" t="s">
        <v>74</v>
      </c>
      <c r="D22" s="4" t="s">
        <v>137</v>
      </c>
      <c r="E22" s="4" t="s">
        <v>191</v>
      </c>
      <c r="F22" s="4" t="s">
        <v>245</v>
      </c>
      <c r="G22" s="17">
        <v>3</v>
      </c>
      <c r="H22" s="30" t="s">
        <v>215</v>
      </c>
    </row>
    <row r="23" spans="1:8" ht="12.75">
      <c r="A23" s="4" t="s">
        <v>17</v>
      </c>
      <c r="B23" s="4"/>
      <c r="C23" s="4" t="s">
        <v>75</v>
      </c>
      <c r="D23" s="4" t="s">
        <v>138</v>
      </c>
      <c r="E23" s="4" t="s">
        <v>191</v>
      </c>
      <c r="F23" s="4" t="s">
        <v>246</v>
      </c>
      <c r="G23" s="17">
        <v>4</v>
      </c>
      <c r="H23" s="30" t="s">
        <v>215</v>
      </c>
    </row>
    <row r="24" spans="1:8" ht="12.75">
      <c r="A24" s="4" t="s">
        <v>18</v>
      </c>
      <c r="B24" s="4"/>
      <c r="C24" s="4" t="s">
        <v>76</v>
      </c>
      <c r="D24" s="4" t="s">
        <v>139</v>
      </c>
      <c r="E24" s="4" t="s">
        <v>191</v>
      </c>
      <c r="F24" s="4" t="s">
        <v>247</v>
      </c>
      <c r="G24" s="17">
        <v>5.14</v>
      </c>
      <c r="H24" s="30" t="s">
        <v>215</v>
      </c>
    </row>
    <row r="25" spans="1:8" ht="12.75">
      <c r="A25" s="4" t="s">
        <v>19</v>
      </c>
      <c r="B25" s="4"/>
      <c r="C25" s="4" t="s">
        <v>77</v>
      </c>
      <c r="D25" s="4" t="s">
        <v>140</v>
      </c>
      <c r="E25" s="4" t="s">
        <v>191</v>
      </c>
      <c r="F25" s="4" t="s">
        <v>248</v>
      </c>
      <c r="G25" s="17">
        <v>4.45</v>
      </c>
      <c r="H25" s="30" t="s">
        <v>215</v>
      </c>
    </row>
    <row r="26" spans="1:7" ht="12.75">
      <c r="A26" s="4"/>
      <c r="B26" s="4"/>
      <c r="C26" s="4"/>
      <c r="D26" s="4"/>
      <c r="E26" s="4"/>
      <c r="F26" s="4" t="s">
        <v>249</v>
      </c>
      <c r="G26" s="17">
        <v>2</v>
      </c>
    </row>
    <row r="27" spans="1:8" ht="12.75">
      <c r="A27" s="4" t="s">
        <v>20</v>
      </c>
      <c r="B27" s="4"/>
      <c r="C27" s="4" t="s">
        <v>78</v>
      </c>
      <c r="D27" s="4" t="s">
        <v>141</v>
      </c>
      <c r="E27" s="4" t="s">
        <v>191</v>
      </c>
      <c r="F27" s="4" t="s">
        <v>250</v>
      </c>
      <c r="G27" s="17">
        <v>1</v>
      </c>
      <c r="H27" s="30" t="s">
        <v>215</v>
      </c>
    </row>
    <row r="28" spans="1:8" ht="12.75">
      <c r="A28" s="4" t="s">
        <v>21</v>
      </c>
      <c r="B28" s="4"/>
      <c r="C28" s="4" t="s">
        <v>78</v>
      </c>
      <c r="D28" s="4" t="s">
        <v>142</v>
      </c>
      <c r="E28" s="4" t="s">
        <v>191</v>
      </c>
      <c r="F28" s="4" t="s">
        <v>251</v>
      </c>
      <c r="G28" s="17">
        <v>9.02</v>
      </c>
      <c r="H28" s="30" t="s">
        <v>215</v>
      </c>
    </row>
    <row r="29" spans="1:8" ht="12.75">
      <c r="A29" s="4" t="s">
        <v>22</v>
      </c>
      <c r="B29" s="4"/>
      <c r="C29" s="4" t="s">
        <v>79</v>
      </c>
      <c r="D29" s="4" t="s">
        <v>143</v>
      </c>
      <c r="E29" s="4" t="s">
        <v>191</v>
      </c>
      <c r="F29" s="4" t="s">
        <v>252</v>
      </c>
      <c r="G29" s="17">
        <v>3</v>
      </c>
      <c r="H29" s="30" t="s">
        <v>215</v>
      </c>
    </row>
    <row r="30" spans="1:8" ht="12.75">
      <c r="A30" s="4" t="s">
        <v>23</v>
      </c>
      <c r="B30" s="4"/>
      <c r="C30" s="4" t="s">
        <v>80</v>
      </c>
      <c r="D30" s="4" t="s">
        <v>144</v>
      </c>
      <c r="E30" s="4" t="s">
        <v>191</v>
      </c>
      <c r="F30" s="4" t="s">
        <v>253</v>
      </c>
      <c r="G30" s="17">
        <v>4</v>
      </c>
      <c r="H30" s="30" t="s">
        <v>215</v>
      </c>
    </row>
    <row r="31" spans="1:8" ht="12.75">
      <c r="A31" s="4" t="s">
        <v>24</v>
      </c>
      <c r="B31" s="4"/>
      <c r="C31" s="4" t="s">
        <v>81</v>
      </c>
      <c r="D31" s="4" t="s">
        <v>145</v>
      </c>
      <c r="E31" s="4" t="s">
        <v>191</v>
      </c>
      <c r="F31" s="4" t="s">
        <v>254</v>
      </c>
      <c r="G31" s="17">
        <v>5.14</v>
      </c>
      <c r="H31" s="30" t="s">
        <v>215</v>
      </c>
    </row>
    <row r="32" spans="1:8" ht="12.75">
      <c r="A32" s="4" t="s">
        <v>25</v>
      </c>
      <c r="B32" s="4"/>
      <c r="C32" s="4" t="s">
        <v>82</v>
      </c>
      <c r="D32" s="4" t="s">
        <v>146</v>
      </c>
      <c r="E32" s="4" t="s">
        <v>191</v>
      </c>
      <c r="F32" s="4" t="s">
        <v>255</v>
      </c>
      <c r="G32" s="17">
        <v>4.45</v>
      </c>
      <c r="H32" s="30" t="s">
        <v>215</v>
      </c>
    </row>
    <row r="33" spans="1:8" ht="12.75">
      <c r="A33" s="4" t="s">
        <v>26</v>
      </c>
      <c r="B33" s="4"/>
      <c r="C33" s="4" t="s">
        <v>83</v>
      </c>
      <c r="D33" s="4" t="s">
        <v>147</v>
      </c>
      <c r="E33" s="4" t="s">
        <v>191</v>
      </c>
      <c r="F33" s="4" t="s">
        <v>256</v>
      </c>
      <c r="G33" s="17">
        <v>26.04</v>
      </c>
      <c r="H33" s="30" t="s">
        <v>215</v>
      </c>
    </row>
    <row r="34" spans="1:7" ht="12.75">
      <c r="A34" s="4"/>
      <c r="B34" s="4"/>
      <c r="C34" s="4"/>
      <c r="D34" s="4"/>
      <c r="E34" s="4"/>
      <c r="F34" s="4" t="s">
        <v>257</v>
      </c>
      <c r="G34" s="17">
        <v>13.02</v>
      </c>
    </row>
    <row r="35" spans="1:8" ht="12.75">
      <c r="A35" s="4" t="s">
        <v>27</v>
      </c>
      <c r="B35" s="4"/>
      <c r="C35" s="4" t="s">
        <v>84</v>
      </c>
      <c r="D35" s="4" t="s">
        <v>148</v>
      </c>
      <c r="E35" s="4" t="s">
        <v>191</v>
      </c>
      <c r="F35" s="4" t="s">
        <v>258</v>
      </c>
      <c r="G35" s="17">
        <v>18.28</v>
      </c>
      <c r="H35" s="30" t="s">
        <v>215</v>
      </c>
    </row>
    <row r="36" spans="1:7" ht="12.75">
      <c r="A36" s="4"/>
      <c r="B36" s="4"/>
      <c r="C36" s="4"/>
      <c r="D36" s="4"/>
      <c r="E36" s="4"/>
      <c r="F36" s="4" t="s">
        <v>259</v>
      </c>
      <c r="G36" s="17">
        <v>9.14</v>
      </c>
    </row>
    <row r="37" spans="1:8" ht="12.75">
      <c r="A37" s="4" t="s">
        <v>28</v>
      </c>
      <c r="B37" s="4"/>
      <c r="C37" s="4" t="s">
        <v>85</v>
      </c>
      <c r="D37" s="4" t="s">
        <v>149</v>
      </c>
      <c r="E37" s="4" t="s">
        <v>191</v>
      </c>
      <c r="F37" s="4" t="s">
        <v>260</v>
      </c>
      <c r="G37" s="17">
        <v>8.9</v>
      </c>
      <c r="H37" s="30" t="s">
        <v>215</v>
      </c>
    </row>
    <row r="38" spans="1:7" ht="12.75">
      <c r="A38" s="4"/>
      <c r="B38" s="4"/>
      <c r="C38" s="4"/>
      <c r="D38" s="4"/>
      <c r="E38" s="4"/>
      <c r="F38" s="4" t="s">
        <v>261</v>
      </c>
      <c r="G38" s="17">
        <v>4.45</v>
      </c>
    </row>
    <row r="39" spans="1:8" ht="12.75">
      <c r="A39" s="4" t="s">
        <v>29</v>
      </c>
      <c r="B39" s="4"/>
      <c r="C39" s="4" t="s">
        <v>86</v>
      </c>
      <c r="D39" s="4" t="s">
        <v>150</v>
      </c>
      <c r="E39" s="4" t="s">
        <v>191</v>
      </c>
      <c r="F39" s="4" t="s">
        <v>262</v>
      </c>
      <c r="G39" s="17">
        <v>53.22</v>
      </c>
      <c r="H39" s="30" t="s">
        <v>215</v>
      </c>
    </row>
    <row r="40" spans="1:7" ht="12.75">
      <c r="A40" s="4"/>
      <c r="B40" s="4"/>
      <c r="C40" s="4"/>
      <c r="D40" s="4"/>
      <c r="E40" s="4"/>
      <c r="F40" s="4" t="s">
        <v>263</v>
      </c>
      <c r="G40" s="17">
        <v>26.61</v>
      </c>
    </row>
    <row r="41" spans="1:8" ht="12.75">
      <c r="A41" s="4" t="s">
        <v>30</v>
      </c>
      <c r="B41" s="4"/>
      <c r="C41" s="4" t="s">
        <v>87</v>
      </c>
      <c r="D41" s="4" t="s">
        <v>151</v>
      </c>
      <c r="E41" s="4" t="s">
        <v>191</v>
      </c>
      <c r="F41" s="4" t="s">
        <v>264</v>
      </c>
      <c r="G41" s="17">
        <v>53.22</v>
      </c>
      <c r="H41" s="30" t="s">
        <v>215</v>
      </c>
    </row>
    <row r="42" spans="1:8" ht="12.75">
      <c r="A42" s="4" t="s">
        <v>31</v>
      </c>
      <c r="B42" s="4"/>
      <c r="C42" s="4" t="s">
        <v>88</v>
      </c>
      <c r="D42" s="4" t="s">
        <v>152</v>
      </c>
      <c r="E42" s="4" t="s">
        <v>192</v>
      </c>
      <c r="F42" s="4" t="s">
        <v>265</v>
      </c>
      <c r="G42" s="17">
        <v>4</v>
      </c>
      <c r="H42" s="30"/>
    </row>
    <row r="43" spans="1:8" ht="12.75">
      <c r="A43" s="4" t="s">
        <v>32</v>
      </c>
      <c r="B43" s="4"/>
      <c r="C43" s="4" t="s">
        <v>89</v>
      </c>
      <c r="D43" s="4" t="s">
        <v>153</v>
      </c>
      <c r="E43" s="4" t="s">
        <v>192</v>
      </c>
      <c r="F43" s="4" t="s">
        <v>266</v>
      </c>
      <c r="G43" s="17">
        <v>6</v>
      </c>
      <c r="H43" s="30" t="s">
        <v>215</v>
      </c>
    </row>
    <row r="44" spans="1:8" ht="12.75">
      <c r="A44" s="4" t="s">
        <v>33</v>
      </c>
      <c r="B44" s="4"/>
      <c r="C44" s="4" t="s">
        <v>90</v>
      </c>
      <c r="D44" s="4" t="s">
        <v>154</v>
      </c>
      <c r="E44" s="4" t="s">
        <v>192</v>
      </c>
      <c r="F44" s="4" t="s">
        <v>267</v>
      </c>
      <c r="G44" s="17">
        <v>2</v>
      </c>
      <c r="H44" s="30" t="s">
        <v>215</v>
      </c>
    </row>
    <row r="45" spans="1:8" ht="12.75">
      <c r="A45" s="4" t="s">
        <v>34</v>
      </c>
      <c r="B45" s="4"/>
      <c r="C45" s="4" t="s">
        <v>91</v>
      </c>
      <c r="D45" s="4" t="s">
        <v>155</v>
      </c>
      <c r="E45" s="4" t="s">
        <v>193</v>
      </c>
      <c r="F45" s="4"/>
      <c r="G45" s="17">
        <v>0.2924</v>
      </c>
      <c r="H45" s="30" t="s">
        <v>215</v>
      </c>
    </row>
    <row r="46" spans="1:8" ht="12.75">
      <c r="A46" s="4" t="s">
        <v>35</v>
      </c>
      <c r="B46" s="4"/>
      <c r="C46" s="4" t="s">
        <v>93</v>
      </c>
      <c r="D46" s="4" t="s">
        <v>157</v>
      </c>
      <c r="E46" s="4" t="s">
        <v>194</v>
      </c>
      <c r="F46" s="4" t="s">
        <v>268</v>
      </c>
      <c r="G46" s="17">
        <v>2</v>
      </c>
      <c r="H46" s="30" t="s">
        <v>215</v>
      </c>
    </row>
    <row r="47" spans="1:8" ht="12.75">
      <c r="A47" s="4" t="s">
        <v>36</v>
      </c>
      <c r="B47" s="4"/>
      <c r="C47" s="4" t="s">
        <v>94</v>
      </c>
      <c r="D47" s="4" t="s">
        <v>158</v>
      </c>
      <c r="E47" s="4" t="s">
        <v>194</v>
      </c>
      <c r="F47" s="4" t="s">
        <v>239</v>
      </c>
      <c r="G47" s="17">
        <v>1</v>
      </c>
      <c r="H47" s="30" t="s">
        <v>215</v>
      </c>
    </row>
    <row r="48" spans="1:8" ht="12.75">
      <c r="A48" s="4" t="s">
        <v>37</v>
      </c>
      <c r="B48" s="4"/>
      <c r="C48" s="4" t="s">
        <v>95</v>
      </c>
      <c r="D48" s="4" t="s">
        <v>159</v>
      </c>
      <c r="E48" s="4" t="s">
        <v>192</v>
      </c>
      <c r="F48" s="4" t="s">
        <v>239</v>
      </c>
      <c r="G48" s="17">
        <v>1</v>
      </c>
      <c r="H48" s="30" t="s">
        <v>215</v>
      </c>
    </row>
    <row r="49" spans="1:8" ht="12.75">
      <c r="A49" s="4" t="s">
        <v>38</v>
      </c>
      <c r="B49" s="4"/>
      <c r="C49" s="4" t="s">
        <v>96</v>
      </c>
      <c r="D49" s="4" t="s">
        <v>160</v>
      </c>
      <c r="E49" s="4" t="s">
        <v>192</v>
      </c>
      <c r="F49" s="4" t="s">
        <v>239</v>
      </c>
      <c r="G49" s="17">
        <v>1</v>
      </c>
      <c r="H49" s="30" t="s">
        <v>215</v>
      </c>
    </row>
    <row r="50" spans="1:8" ht="12.75">
      <c r="A50" s="4" t="s">
        <v>39</v>
      </c>
      <c r="B50" s="4"/>
      <c r="C50" s="4" t="s">
        <v>97</v>
      </c>
      <c r="D50" s="4" t="s">
        <v>161</v>
      </c>
      <c r="E50" s="4" t="s">
        <v>192</v>
      </c>
      <c r="F50" s="4" t="s">
        <v>239</v>
      </c>
      <c r="G50" s="17">
        <v>1</v>
      </c>
      <c r="H50" s="30" t="s">
        <v>215</v>
      </c>
    </row>
    <row r="51" spans="1:8" ht="12.75">
      <c r="A51" s="4" t="s">
        <v>40</v>
      </c>
      <c r="B51" s="4"/>
      <c r="C51" s="4" t="s">
        <v>98</v>
      </c>
      <c r="D51" s="4" t="s">
        <v>162</v>
      </c>
      <c r="E51" s="4" t="s">
        <v>192</v>
      </c>
      <c r="F51" s="4" t="s">
        <v>269</v>
      </c>
      <c r="G51" s="17">
        <v>2</v>
      </c>
      <c r="H51" s="30" t="s">
        <v>215</v>
      </c>
    </row>
    <row r="52" spans="1:8" ht="12.75">
      <c r="A52" s="4" t="s">
        <v>41</v>
      </c>
      <c r="B52" s="4"/>
      <c r="C52" s="4" t="s">
        <v>99</v>
      </c>
      <c r="D52" s="4" t="s">
        <v>163</v>
      </c>
      <c r="E52" s="4" t="s">
        <v>194</v>
      </c>
      <c r="F52" s="4" t="s">
        <v>239</v>
      </c>
      <c r="G52" s="17">
        <v>1</v>
      </c>
      <c r="H52" s="30"/>
    </row>
    <row r="53" spans="1:8" ht="12.75">
      <c r="A53" s="4" t="s">
        <v>42</v>
      </c>
      <c r="B53" s="4"/>
      <c r="C53" s="4" t="s">
        <v>100</v>
      </c>
      <c r="D53" s="4" t="s">
        <v>164</v>
      </c>
      <c r="E53" s="4" t="s">
        <v>194</v>
      </c>
      <c r="F53" s="4" t="s">
        <v>239</v>
      </c>
      <c r="G53" s="17">
        <v>1</v>
      </c>
      <c r="H53" s="30"/>
    </row>
    <row r="54" spans="1:8" ht="12.75">
      <c r="A54" s="4" t="s">
        <v>43</v>
      </c>
      <c r="B54" s="4"/>
      <c r="C54" s="4" t="s">
        <v>101</v>
      </c>
      <c r="D54" s="4" t="s">
        <v>165</v>
      </c>
      <c r="E54" s="4" t="s">
        <v>194</v>
      </c>
      <c r="F54" s="4" t="s">
        <v>239</v>
      </c>
      <c r="G54" s="17">
        <v>1</v>
      </c>
      <c r="H54" s="30"/>
    </row>
    <row r="55" spans="1:8" ht="12.75">
      <c r="A55" s="4" t="s">
        <v>44</v>
      </c>
      <c r="B55" s="4"/>
      <c r="C55" s="4" t="s">
        <v>102</v>
      </c>
      <c r="D55" s="4" t="s">
        <v>166</v>
      </c>
      <c r="E55" s="4" t="s">
        <v>194</v>
      </c>
      <c r="F55" s="4" t="s">
        <v>239</v>
      </c>
      <c r="G55" s="17">
        <v>1</v>
      </c>
      <c r="H55" s="30"/>
    </row>
    <row r="56" spans="1:8" ht="12.75">
      <c r="A56" s="4" t="s">
        <v>45</v>
      </c>
      <c r="B56" s="4"/>
      <c r="C56" s="4" t="s">
        <v>103</v>
      </c>
      <c r="D56" s="4" t="s">
        <v>167</v>
      </c>
      <c r="E56" s="4" t="s">
        <v>193</v>
      </c>
      <c r="F56" s="4"/>
      <c r="G56" s="17">
        <v>0.01229</v>
      </c>
      <c r="H56" s="30" t="s">
        <v>215</v>
      </c>
    </row>
    <row r="57" spans="1:8" ht="12.75">
      <c r="A57" s="4" t="s">
        <v>46</v>
      </c>
      <c r="B57" s="4"/>
      <c r="C57" s="4" t="s">
        <v>105</v>
      </c>
      <c r="D57" s="4" t="s">
        <v>169</v>
      </c>
      <c r="E57" s="4" t="s">
        <v>192</v>
      </c>
      <c r="F57" s="4" t="s">
        <v>270</v>
      </c>
      <c r="G57" s="17">
        <v>4</v>
      </c>
      <c r="H57" s="30"/>
    </row>
    <row r="58" spans="1:8" ht="12.75">
      <c r="A58" s="4" t="s">
        <v>47</v>
      </c>
      <c r="B58" s="4"/>
      <c r="C58" s="4" t="s">
        <v>106</v>
      </c>
      <c r="D58" s="4" t="s">
        <v>170</v>
      </c>
      <c r="E58" s="4" t="s">
        <v>192</v>
      </c>
      <c r="F58" s="4" t="s">
        <v>271</v>
      </c>
      <c r="G58" s="17">
        <v>1</v>
      </c>
      <c r="H58" s="30"/>
    </row>
    <row r="59" spans="1:8" ht="12.75">
      <c r="A59" s="4" t="s">
        <v>48</v>
      </c>
      <c r="B59" s="4"/>
      <c r="C59" s="4" t="s">
        <v>107</v>
      </c>
      <c r="D59" s="4" t="s">
        <v>171</v>
      </c>
      <c r="E59" s="4" t="s">
        <v>192</v>
      </c>
      <c r="F59" s="4" t="s">
        <v>272</v>
      </c>
      <c r="G59" s="17">
        <v>2</v>
      </c>
      <c r="H59" s="30"/>
    </row>
    <row r="60" spans="1:8" ht="12.75">
      <c r="A60" s="4" t="s">
        <v>49</v>
      </c>
      <c r="B60" s="4"/>
      <c r="C60" s="4" t="s">
        <v>108</v>
      </c>
      <c r="D60" s="4" t="s">
        <v>172</v>
      </c>
      <c r="E60" s="4" t="s">
        <v>192</v>
      </c>
      <c r="F60" s="4" t="s">
        <v>273</v>
      </c>
      <c r="G60" s="17">
        <v>7</v>
      </c>
      <c r="H60" s="30"/>
    </row>
    <row r="61" spans="1:7" ht="12.75">
      <c r="A61" s="4"/>
      <c r="B61" s="4"/>
      <c r="C61" s="4"/>
      <c r="D61" s="4"/>
      <c r="E61" s="4"/>
      <c r="F61" s="4" t="s">
        <v>274</v>
      </c>
      <c r="G61" s="17">
        <v>5</v>
      </c>
    </row>
    <row r="62" spans="1:8" ht="12.75">
      <c r="A62" s="4" t="s">
        <v>50</v>
      </c>
      <c r="B62" s="4"/>
      <c r="C62" s="4" t="s">
        <v>109</v>
      </c>
      <c r="D62" s="4" t="s">
        <v>173</v>
      </c>
      <c r="E62" s="4"/>
      <c r="F62" s="4" t="s">
        <v>275</v>
      </c>
      <c r="G62" s="17">
        <v>1</v>
      </c>
      <c r="H62" s="30"/>
    </row>
    <row r="63" spans="1:8" ht="12.75">
      <c r="A63" s="4" t="s">
        <v>51</v>
      </c>
      <c r="B63" s="4"/>
      <c r="C63" s="4" t="s">
        <v>111</v>
      </c>
      <c r="D63" s="4" t="s">
        <v>175</v>
      </c>
      <c r="E63" s="4" t="s">
        <v>194</v>
      </c>
      <c r="F63" s="4"/>
      <c r="G63" s="17">
        <v>1</v>
      </c>
      <c r="H63" s="30"/>
    </row>
    <row r="64" spans="1:8" ht="12.75">
      <c r="A64" s="6" t="s">
        <v>52</v>
      </c>
      <c r="B64" s="6"/>
      <c r="C64" s="6" t="s">
        <v>112</v>
      </c>
      <c r="D64" s="6" t="s">
        <v>177</v>
      </c>
      <c r="E64" s="6" t="s">
        <v>191</v>
      </c>
      <c r="F64" s="6" t="s">
        <v>276</v>
      </c>
      <c r="G64" s="18">
        <v>20.04</v>
      </c>
      <c r="H64" s="31" t="s">
        <v>215</v>
      </c>
    </row>
    <row r="65" spans="1:7" ht="12.75">
      <c r="A65" s="6"/>
      <c r="B65" s="6"/>
      <c r="C65" s="6"/>
      <c r="D65" s="6"/>
      <c r="E65" s="6"/>
      <c r="F65" s="6" t="s">
        <v>277</v>
      </c>
      <c r="G65" s="18">
        <v>10.02</v>
      </c>
    </row>
    <row r="66" spans="1:8" ht="12.75">
      <c r="A66" s="6" t="s">
        <v>53</v>
      </c>
      <c r="B66" s="6"/>
      <c r="C66" s="6" t="s">
        <v>113</v>
      </c>
      <c r="D66" s="6" t="s">
        <v>178</v>
      </c>
      <c r="E66" s="6" t="s">
        <v>191</v>
      </c>
      <c r="F66" s="6" t="s">
        <v>278</v>
      </c>
      <c r="G66" s="18">
        <v>6</v>
      </c>
      <c r="H66" s="31" t="s">
        <v>215</v>
      </c>
    </row>
    <row r="67" spans="1:7" ht="12.75">
      <c r="A67" s="6"/>
      <c r="B67" s="6"/>
      <c r="C67" s="6"/>
      <c r="D67" s="6"/>
      <c r="E67" s="6"/>
      <c r="F67" s="6" t="s">
        <v>279</v>
      </c>
      <c r="G67" s="18">
        <v>3</v>
      </c>
    </row>
    <row r="68" spans="1:8" ht="12.75">
      <c r="A68" s="6" t="s">
        <v>54</v>
      </c>
      <c r="B68" s="6"/>
      <c r="C68" s="6" t="s">
        <v>114</v>
      </c>
      <c r="D68" s="6" t="s">
        <v>179</v>
      </c>
      <c r="E68" s="6" t="s">
        <v>191</v>
      </c>
      <c r="F68" s="6" t="s">
        <v>280</v>
      </c>
      <c r="G68" s="18">
        <v>8</v>
      </c>
      <c r="H68" s="31" t="s">
        <v>215</v>
      </c>
    </row>
    <row r="69" spans="1:7" ht="12.75">
      <c r="A69" s="6"/>
      <c r="B69" s="6"/>
      <c r="C69" s="6"/>
      <c r="D69" s="6"/>
      <c r="E69" s="6"/>
      <c r="F69" s="6" t="s">
        <v>281</v>
      </c>
      <c r="G69" s="18">
        <v>4</v>
      </c>
    </row>
    <row r="70" spans="1:8" ht="12.75">
      <c r="A70" s="6" t="s">
        <v>55</v>
      </c>
      <c r="B70" s="6"/>
      <c r="C70" s="6" t="s">
        <v>115</v>
      </c>
      <c r="D70" s="6" t="s">
        <v>180</v>
      </c>
      <c r="E70" s="6" t="s">
        <v>191</v>
      </c>
      <c r="F70" s="6" t="s">
        <v>282</v>
      </c>
      <c r="G70" s="18">
        <v>10.28</v>
      </c>
      <c r="H70" s="31" t="s">
        <v>215</v>
      </c>
    </row>
    <row r="71" spans="1:7" ht="12.75">
      <c r="A71" s="6"/>
      <c r="B71" s="6"/>
      <c r="C71" s="6"/>
      <c r="D71" s="6"/>
      <c r="E71" s="6"/>
      <c r="F71" s="6" t="s">
        <v>283</v>
      </c>
      <c r="G71" s="18">
        <v>5.14</v>
      </c>
    </row>
    <row r="72" spans="1:8" ht="12.75">
      <c r="A72" s="6" t="s">
        <v>56</v>
      </c>
      <c r="B72" s="6"/>
      <c r="C72" s="6" t="s">
        <v>116</v>
      </c>
      <c r="D72" s="6" t="s">
        <v>181</v>
      </c>
      <c r="E72" s="6" t="s">
        <v>191</v>
      </c>
      <c r="F72" s="6" t="s">
        <v>260</v>
      </c>
      <c r="G72" s="18">
        <v>8.9</v>
      </c>
      <c r="H72" s="31" t="s">
        <v>215</v>
      </c>
    </row>
    <row r="73" spans="1:7" ht="12.75">
      <c r="A73" s="6"/>
      <c r="B73" s="6"/>
      <c r="C73" s="6"/>
      <c r="D73" s="6"/>
      <c r="E73" s="6"/>
      <c r="F73" s="6" t="s">
        <v>261</v>
      </c>
      <c r="G73" s="18">
        <v>4.45</v>
      </c>
    </row>
    <row r="74" spans="1:8" ht="12.75">
      <c r="A74" s="6" t="s">
        <v>57</v>
      </c>
      <c r="B74" s="6"/>
      <c r="C74" s="6" t="s">
        <v>117</v>
      </c>
      <c r="D74" s="6" t="s">
        <v>182</v>
      </c>
      <c r="E74" s="6" t="s">
        <v>192</v>
      </c>
      <c r="F74" s="6"/>
      <c r="G74" s="18">
        <v>1</v>
      </c>
      <c r="H74" s="31" t="s">
        <v>215</v>
      </c>
    </row>
    <row r="75" spans="1:7" ht="12.75">
      <c r="A75" s="6"/>
      <c r="B75" s="6"/>
      <c r="C75" s="6"/>
      <c r="D75" s="6"/>
      <c r="E75" s="6"/>
      <c r="F75" s="6" t="s">
        <v>239</v>
      </c>
      <c r="G75" s="18">
        <v>1</v>
      </c>
    </row>
    <row r="76" spans="1:8" ht="12.75">
      <c r="A76" s="6" t="s">
        <v>58</v>
      </c>
      <c r="B76" s="6"/>
      <c r="C76" s="6" t="s">
        <v>118</v>
      </c>
      <c r="D76" s="6" t="s">
        <v>183</v>
      </c>
      <c r="E76" s="6" t="s">
        <v>192</v>
      </c>
      <c r="F76" s="6" t="s">
        <v>239</v>
      </c>
      <c r="G76" s="18">
        <v>1</v>
      </c>
      <c r="H76" s="31" t="s">
        <v>215</v>
      </c>
    </row>
    <row r="77" spans="1:8" ht="12.75">
      <c r="A77" s="6" t="s">
        <v>59</v>
      </c>
      <c r="B77" s="6"/>
      <c r="C77" s="6" t="s">
        <v>119</v>
      </c>
      <c r="D77" s="6" t="s">
        <v>184</v>
      </c>
      <c r="E77" s="6" t="s">
        <v>192</v>
      </c>
      <c r="F77" s="6" t="s">
        <v>269</v>
      </c>
      <c r="G77" s="18">
        <v>2</v>
      </c>
      <c r="H77" s="31" t="s">
        <v>215</v>
      </c>
    </row>
    <row r="78" spans="1:8" ht="12.75">
      <c r="A78" s="6" t="s">
        <v>60</v>
      </c>
      <c r="B78" s="6"/>
      <c r="C78" s="6" t="s">
        <v>120</v>
      </c>
      <c r="D78" s="6" t="s">
        <v>185</v>
      </c>
      <c r="E78" s="6" t="s">
        <v>192</v>
      </c>
      <c r="F78" s="6" t="s">
        <v>284</v>
      </c>
      <c r="G78" s="18">
        <v>3</v>
      </c>
      <c r="H78" s="31" t="s">
        <v>215</v>
      </c>
    </row>
  </sheetData>
  <sheetProtection/>
  <mergeCells count="17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21.75" customHeight="1">
      <c r="A1" s="99" t="s">
        <v>286</v>
      </c>
      <c r="B1" s="100"/>
      <c r="C1" s="100"/>
      <c r="D1" s="100"/>
      <c r="E1" s="100"/>
      <c r="F1" s="100"/>
      <c r="G1" s="100"/>
      <c r="H1" s="100"/>
    </row>
    <row r="2" spans="1:9" ht="12.75">
      <c r="A2" s="101" t="s">
        <v>1</v>
      </c>
      <c r="B2" s="103" t="s">
        <v>121</v>
      </c>
      <c r="C2" s="105" t="s">
        <v>186</v>
      </c>
      <c r="D2" s="105"/>
      <c r="E2" s="102"/>
      <c r="F2" s="106" t="s">
        <v>201</v>
      </c>
      <c r="G2" s="106" t="s">
        <v>206</v>
      </c>
      <c r="H2" s="107"/>
      <c r="I2" s="33"/>
    </row>
    <row r="3" spans="1:9" ht="12.75">
      <c r="A3" s="98"/>
      <c r="B3" s="104"/>
      <c r="C3" s="85"/>
      <c r="D3" s="85"/>
      <c r="E3" s="85"/>
      <c r="F3" s="85"/>
      <c r="G3" s="85"/>
      <c r="H3" s="96"/>
      <c r="I3" s="33"/>
    </row>
    <row r="4" spans="1:9" ht="12.75">
      <c r="A4" s="91" t="s">
        <v>2</v>
      </c>
      <c r="B4" s="84" t="s">
        <v>122</v>
      </c>
      <c r="C4" s="94" t="s">
        <v>187</v>
      </c>
      <c r="D4" s="94" t="s">
        <v>6</v>
      </c>
      <c r="E4" s="85"/>
      <c r="F4" s="84" t="s">
        <v>202</v>
      </c>
      <c r="G4" s="84" t="s">
        <v>207</v>
      </c>
      <c r="H4" s="96"/>
      <c r="I4" s="33"/>
    </row>
    <row r="5" spans="1:9" ht="12.75">
      <c r="A5" s="98"/>
      <c r="B5" s="85"/>
      <c r="C5" s="85"/>
      <c r="D5" s="85"/>
      <c r="E5" s="85"/>
      <c r="F5" s="85"/>
      <c r="G5" s="85"/>
      <c r="H5" s="96"/>
      <c r="I5" s="33"/>
    </row>
    <row r="6" spans="1:9" ht="12.75">
      <c r="A6" s="91" t="s">
        <v>3</v>
      </c>
      <c r="B6" s="84" t="s">
        <v>123</v>
      </c>
      <c r="C6" s="94" t="s">
        <v>188</v>
      </c>
      <c r="D6" s="85"/>
      <c r="E6" s="85"/>
      <c r="F6" s="84" t="s">
        <v>203</v>
      </c>
      <c r="G6" s="84" t="s">
        <v>208</v>
      </c>
      <c r="H6" s="96"/>
      <c r="I6" s="33"/>
    </row>
    <row r="7" spans="1:9" ht="12.75">
      <c r="A7" s="98"/>
      <c r="B7" s="85"/>
      <c r="C7" s="85"/>
      <c r="D7" s="85"/>
      <c r="E7" s="85"/>
      <c r="F7" s="85"/>
      <c r="G7" s="85"/>
      <c r="H7" s="96"/>
      <c r="I7" s="33"/>
    </row>
    <row r="8" spans="1:9" ht="12.75">
      <c r="A8" s="91" t="s">
        <v>4</v>
      </c>
      <c r="B8" s="84"/>
      <c r="C8" s="94" t="s">
        <v>189</v>
      </c>
      <c r="D8" s="95">
        <v>41797</v>
      </c>
      <c r="E8" s="85"/>
      <c r="F8" s="84" t="s">
        <v>204</v>
      </c>
      <c r="G8" s="84" t="s">
        <v>209</v>
      </c>
      <c r="H8" s="96"/>
      <c r="I8" s="33"/>
    </row>
    <row r="9" spans="1:9" ht="12.75">
      <c r="A9" s="92"/>
      <c r="B9" s="93"/>
      <c r="C9" s="93"/>
      <c r="D9" s="93"/>
      <c r="E9" s="93"/>
      <c r="F9" s="93"/>
      <c r="G9" s="93"/>
      <c r="H9" s="97"/>
      <c r="I9" s="33"/>
    </row>
    <row r="10" spans="1:9" ht="12.75">
      <c r="A10" s="42" t="s">
        <v>63</v>
      </c>
      <c r="B10" s="43" t="s">
        <v>230</v>
      </c>
      <c r="C10" s="50" t="s">
        <v>287</v>
      </c>
      <c r="D10" s="50" t="s">
        <v>288</v>
      </c>
      <c r="E10" s="50" t="s">
        <v>289</v>
      </c>
      <c r="F10" s="50" t="s">
        <v>290</v>
      </c>
      <c r="G10" s="50" t="s">
        <v>291</v>
      </c>
      <c r="H10" s="53" t="s">
        <v>292</v>
      </c>
      <c r="I10" s="34"/>
    </row>
    <row r="11" spans="1:8" ht="12.75">
      <c r="A11" s="45"/>
      <c r="B11" s="45"/>
      <c r="C11" s="45"/>
      <c r="D11" s="45"/>
      <c r="E11" s="45"/>
      <c r="F11" s="45"/>
      <c r="G11" s="45"/>
      <c r="H11" s="45"/>
    </row>
  </sheetData>
  <sheetProtection/>
  <mergeCells count="25">
    <mergeCell ref="A1:H1"/>
    <mergeCell ref="A2:A3"/>
    <mergeCell ref="B2:B3"/>
    <mergeCell ref="C2:C3"/>
    <mergeCell ref="D2:E3"/>
    <mergeCell ref="F2:F3"/>
    <mergeCell ref="G2:H3"/>
    <mergeCell ref="A4:A5"/>
    <mergeCell ref="B4:B5"/>
    <mergeCell ref="C4:C5"/>
    <mergeCell ref="D4:E5"/>
    <mergeCell ref="F4:F5"/>
    <mergeCell ref="G4:H5"/>
    <mergeCell ref="A6:A7"/>
    <mergeCell ref="B6:B7"/>
    <mergeCell ref="C6:C7"/>
    <mergeCell ref="D6:E7"/>
    <mergeCell ref="F6:F7"/>
    <mergeCell ref="G6:H7"/>
    <mergeCell ref="A8:A9"/>
    <mergeCell ref="B8:B9"/>
    <mergeCell ref="C8:C9"/>
    <mergeCell ref="D8:E9"/>
    <mergeCell ref="F8:F9"/>
    <mergeCell ref="G8:H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I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132" t="s">
        <v>293</v>
      </c>
      <c r="B1" s="133"/>
      <c r="C1" s="133"/>
      <c r="D1" s="133"/>
      <c r="E1" s="133"/>
      <c r="F1" s="133"/>
      <c r="G1" s="133"/>
      <c r="H1" s="133"/>
      <c r="I1" s="133"/>
    </row>
    <row r="2" spans="1:10" ht="12.75">
      <c r="A2" s="101" t="s">
        <v>1</v>
      </c>
      <c r="B2" s="102"/>
      <c r="C2" s="103" t="s">
        <v>121</v>
      </c>
      <c r="D2" s="83"/>
      <c r="E2" s="106" t="s">
        <v>201</v>
      </c>
      <c r="F2" s="106" t="s">
        <v>206</v>
      </c>
      <c r="G2" s="102"/>
      <c r="H2" s="106" t="s">
        <v>332</v>
      </c>
      <c r="I2" s="134"/>
      <c r="J2" s="33"/>
    </row>
    <row r="3" spans="1:10" ht="12.75">
      <c r="A3" s="98"/>
      <c r="B3" s="85"/>
      <c r="C3" s="104"/>
      <c r="D3" s="104"/>
      <c r="E3" s="85"/>
      <c r="F3" s="85"/>
      <c r="G3" s="85"/>
      <c r="H3" s="85"/>
      <c r="I3" s="96"/>
      <c r="J3" s="33"/>
    </row>
    <row r="4" spans="1:10" ht="12.75">
      <c r="A4" s="91" t="s">
        <v>2</v>
      </c>
      <c r="B4" s="85"/>
      <c r="C4" s="84" t="s">
        <v>122</v>
      </c>
      <c r="D4" s="85"/>
      <c r="E4" s="84" t="s">
        <v>202</v>
      </c>
      <c r="F4" s="84" t="s">
        <v>207</v>
      </c>
      <c r="G4" s="85"/>
      <c r="H4" s="84" t="s">
        <v>332</v>
      </c>
      <c r="I4" s="131"/>
      <c r="J4" s="33"/>
    </row>
    <row r="5" spans="1:10" ht="12.75">
      <c r="A5" s="98"/>
      <c r="B5" s="85"/>
      <c r="C5" s="85"/>
      <c r="D5" s="85"/>
      <c r="E5" s="85"/>
      <c r="F5" s="85"/>
      <c r="G5" s="85"/>
      <c r="H5" s="85"/>
      <c r="I5" s="96"/>
      <c r="J5" s="33"/>
    </row>
    <row r="6" spans="1:10" ht="12.75">
      <c r="A6" s="91" t="s">
        <v>3</v>
      </c>
      <c r="B6" s="85"/>
      <c r="C6" s="84" t="s">
        <v>123</v>
      </c>
      <c r="D6" s="85"/>
      <c r="E6" s="84" t="s">
        <v>203</v>
      </c>
      <c r="F6" s="84" t="s">
        <v>208</v>
      </c>
      <c r="G6" s="85"/>
      <c r="H6" s="84" t="s">
        <v>332</v>
      </c>
      <c r="I6" s="131"/>
      <c r="J6" s="33"/>
    </row>
    <row r="7" spans="1:10" ht="12.75">
      <c r="A7" s="98"/>
      <c r="B7" s="85"/>
      <c r="C7" s="85"/>
      <c r="D7" s="85"/>
      <c r="E7" s="85"/>
      <c r="F7" s="85"/>
      <c r="G7" s="85"/>
      <c r="H7" s="85"/>
      <c r="I7" s="96"/>
      <c r="J7" s="33"/>
    </row>
    <row r="8" spans="1:10" ht="12.75">
      <c r="A8" s="91" t="s">
        <v>187</v>
      </c>
      <c r="B8" s="85"/>
      <c r="C8" s="94" t="s">
        <v>6</v>
      </c>
      <c r="D8" s="85"/>
      <c r="E8" s="84" t="s">
        <v>188</v>
      </c>
      <c r="F8" s="85"/>
      <c r="G8" s="85"/>
      <c r="H8" s="94" t="s">
        <v>333</v>
      </c>
      <c r="I8" s="131" t="s">
        <v>60</v>
      </c>
      <c r="J8" s="33"/>
    </row>
    <row r="9" spans="1:10" ht="12.75">
      <c r="A9" s="98"/>
      <c r="B9" s="85"/>
      <c r="C9" s="85"/>
      <c r="D9" s="85"/>
      <c r="E9" s="85"/>
      <c r="F9" s="85"/>
      <c r="G9" s="85"/>
      <c r="H9" s="85"/>
      <c r="I9" s="96"/>
      <c r="J9" s="33"/>
    </row>
    <row r="10" spans="1:10" ht="12.75">
      <c r="A10" s="91" t="s">
        <v>4</v>
      </c>
      <c r="B10" s="85"/>
      <c r="C10" s="84"/>
      <c r="D10" s="85"/>
      <c r="E10" s="84" t="s">
        <v>204</v>
      </c>
      <c r="F10" s="84" t="s">
        <v>209</v>
      </c>
      <c r="G10" s="85"/>
      <c r="H10" s="94" t="s">
        <v>334</v>
      </c>
      <c r="I10" s="129">
        <v>41797</v>
      </c>
      <c r="J10" s="33"/>
    </row>
    <row r="11" spans="1:10" ht="12.75">
      <c r="A11" s="127"/>
      <c r="B11" s="128"/>
      <c r="C11" s="128"/>
      <c r="D11" s="128"/>
      <c r="E11" s="128"/>
      <c r="F11" s="128"/>
      <c r="G11" s="128"/>
      <c r="H11" s="128"/>
      <c r="I11" s="130"/>
      <c r="J11" s="33"/>
    </row>
    <row r="12" spans="1:9" ht="23.25" customHeight="1">
      <c r="A12" s="123" t="s">
        <v>294</v>
      </c>
      <c r="B12" s="124"/>
      <c r="C12" s="124"/>
      <c r="D12" s="124"/>
      <c r="E12" s="124"/>
      <c r="F12" s="124"/>
      <c r="G12" s="124"/>
      <c r="H12" s="124"/>
      <c r="I12" s="124"/>
    </row>
    <row r="13" spans="1:10" ht="26.25" customHeight="1">
      <c r="A13" s="54" t="s">
        <v>295</v>
      </c>
      <c r="B13" s="125" t="s">
        <v>306</v>
      </c>
      <c r="C13" s="126"/>
      <c r="D13" s="54" t="s">
        <v>308</v>
      </c>
      <c r="E13" s="125" t="s">
        <v>317</v>
      </c>
      <c r="F13" s="126"/>
      <c r="G13" s="54" t="s">
        <v>318</v>
      </c>
      <c r="H13" s="125" t="s">
        <v>335</v>
      </c>
      <c r="I13" s="126"/>
      <c r="J13" s="33"/>
    </row>
    <row r="14" spans="1:10" ht="15" customHeight="1">
      <c r="A14" s="55" t="s">
        <v>296</v>
      </c>
      <c r="B14" s="59" t="s">
        <v>307</v>
      </c>
      <c r="C14" s="60"/>
      <c r="D14" s="121" t="s">
        <v>309</v>
      </c>
      <c r="E14" s="122"/>
      <c r="F14" s="60"/>
      <c r="G14" s="121" t="s">
        <v>319</v>
      </c>
      <c r="H14" s="122"/>
      <c r="I14" s="60"/>
      <c r="J14" s="33"/>
    </row>
    <row r="15" spans="1:10" ht="15" customHeight="1">
      <c r="A15" s="56"/>
      <c r="B15" s="59" t="s">
        <v>205</v>
      </c>
      <c r="C15" s="60"/>
      <c r="D15" s="121" t="s">
        <v>310</v>
      </c>
      <c r="E15" s="122"/>
      <c r="F15" s="60"/>
      <c r="G15" s="121" t="s">
        <v>320</v>
      </c>
      <c r="H15" s="122"/>
      <c r="I15" s="60"/>
      <c r="J15" s="33"/>
    </row>
    <row r="16" spans="1:10" ht="15" customHeight="1">
      <c r="A16" s="55" t="s">
        <v>297</v>
      </c>
      <c r="B16" s="59" t="s">
        <v>307</v>
      </c>
      <c r="C16" s="60"/>
      <c r="D16" s="121" t="s">
        <v>311</v>
      </c>
      <c r="E16" s="122"/>
      <c r="F16" s="60"/>
      <c r="G16" s="121" t="s">
        <v>321</v>
      </c>
      <c r="H16" s="122"/>
      <c r="I16" s="60"/>
      <c r="J16" s="33"/>
    </row>
    <row r="17" spans="1:10" ht="15" customHeight="1">
      <c r="A17" s="56"/>
      <c r="B17" s="59" t="s">
        <v>205</v>
      </c>
      <c r="C17" s="60"/>
      <c r="D17" s="121"/>
      <c r="E17" s="122"/>
      <c r="F17" s="64"/>
      <c r="G17" s="121" t="s">
        <v>322</v>
      </c>
      <c r="H17" s="122"/>
      <c r="I17" s="60"/>
      <c r="J17" s="33"/>
    </row>
    <row r="18" spans="1:10" ht="15" customHeight="1">
      <c r="A18" s="55" t="s">
        <v>298</v>
      </c>
      <c r="B18" s="59" t="s">
        <v>307</v>
      </c>
      <c r="C18" s="60"/>
      <c r="D18" s="121"/>
      <c r="E18" s="122"/>
      <c r="F18" s="64"/>
      <c r="G18" s="121" t="s">
        <v>323</v>
      </c>
      <c r="H18" s="122"/>
      <c r="I18" s="60"/>
      <c r="J18" s="33"/>
    </row>
    <row r="19" spans="1:10" ht="15" customHeight="1">
      <c r="A19" s="56"/>
      <c r="B19" s="59" t="s">
        <v>205</v>
      </c>
      <c r="C19" s="60"/>
      <c r="D19" s="121"/>
      <c r="E19" s="122"/>
      <c r="F19" s="64"/>
      <c r="G19" s="121" t="s">
        <v>324</v>
      </c>
      <c r="H19" s="122"/>
      <c r="I19" s="60"/>
      <c r="J19" s="33"/>
    </row>
    <row r="20" spans="1:10" ht="15" customHeight="1">
      <c r="A20" s="119" t="s">
        <v>176</v>
      </c>
      <c r="B20" s="120"/>
      <c r="C20" s="60"/>
      <c r="D20" s="121"/>
      <c r="E20" s="122"/>
      <c r="F20" s="64"/>
      <c r="G20" s="121"/>
      <c r="H20" s="122"/>
      <c r="I20" s="64"/>
      <c r="J20" s="33"/>
    </row>
    <row r="21" spans="1:10" ht="15" customHeight="1">
      <c r="A21" s="119" t="s">
        <v>299</v>
      </c>
      <c r="B21" s="120"/>
      <c r="C21" s="60"/>
      <c r="D21" s="121"/>
      <c r="E21" s="122"/>
      <c r="F21" s="64"/>
      <c r="G21" s="121"/>
      <c r="H21" s="122"/>
      <c r="I21" s="64"/>
      <c r="J21" s="33"/>
    </row>
    <row r="22" spans="1:10" ht="16.5" customHeight="1">
      <c r="A22" s="119" t="s">
        <v>300</v>
      </c>
      <c r="B22" s="120"/>
      <c r="C22" s="60"/>
      <c r="D22" s="119" t="s">
        <v>312</v>
      </c>
      <c r="E22" s="120"/>
      <c r="F22" s="60"/>
      <c r="G22" s="119" t="s">
        <v>325</v>
      </c>
      <c r="H22" s="120"/>
      <c r="I22" s="60"/>
      <c r="J22" s="33"/>
    </row>
    <row r="23" spans="1:9" ht="15" customHeight="1">
      <c r="A23" s="8"/>
      <c r="B23" s="8"/>
      <c r="C23" s="61"/>
      <c r="D23" s="119" t="s">
        <v>313</v>
      </c>
      <c r="E23" s="120"/>
      <c r="F23" s="65"/>
      <c r="G23" s="119" t="s">
        <v>326</v>
      </c>
      <c r="H23" s="120"/>
      <c r="I23" s="67"/>
    </row>
    <row r="24" spans="4:9" ht="15" customHeight="1">
      <c r="D24" s="8"/>
      <c r="E24" s="8"/>
      <c r="F24" s="66"/>
      <c r="G24" s="119" t="s">
        <v>327</v>
      </c>
      <c r="H24" s="120"/>
      <c r="I24" s="33"/>
    </row>
    <row r="25" spans="6:9" ht="15" customHeight="1">
      <c r="F25" s="66"/>
      <c r="G25" s="119" t="s">
        <v>328</v>
      </c>
      <c r="H25" s="120"/>
      <c r="I25" s="33"/>
    </row>
    <row r="26" spans="1:8" ht="12.75">
      <c r="A26" s="22"/>
      <c r="B26" s="22"/>
      <c r="C26" s="22"/>
      <c r="G26" s="8"/>
      <c r="H26" s="8"/>
    </row>
    <row r="27" spans="1:9" ht="15" customHeight="1">
      <c r="A27" s="114" t="s">
        <v>301</v>
      </c>
      <c r="B27" s="115"/>
      <c r="C27" s="62"/>
      <c r="D27" s="63"/>
      <c r="E27" s="22"/>
      <c r="F27" s="22"/>
      <c r="G27" s="22"/>
      <c r="H27" s="22"/>
      <c r="I27" s="22"/>
    </row>
    <row r="28" spans="1:10" ht="15" customHeight="1">
      <c r="A28" s="114" t="s">
        <v>302</v>
      </c>
      <c r="B28" s="115"/>
      <c r="C28" s="62"/>
      <c r="D28" s="114" t="s">
        <v>314</v>
      </c>
      <c r="E28" s="115"/>
      <c r="F28" s="62"/>
      <c r="G28" s="114" t="s">
        <v>329</v>
      </c>
      <c r="H28" s="115"/>
      <c r="I28" s="62"/>
      <c r="J28" s="33"/>
    </row>
    <row r="29" spans="1:10" ht="15" customHeight="1">
      <c r="A29" s="114" t="s">
        <v>303</v>
      </c>
      <c r="B29" s="115"/>
      <c r="C29" s="62"/>
      <c r="D29" s="114" t="s">
        <v>315</v>
      </c>
      <c r="E29" s="115"/>
      <c r="F29" s="62"/>
      <c r="G29" s="114" t="s">
        <v>330</v>
      </c>
      <c r="H29" s="115"/>
      <c r="I29" s="62"/>
      <c r="J29" s="33"/>
    </row>
    <row r="30" spans="1:9" ht="12.75">
      <c r="A30" s="57"/>
      <c r="B30" s="57"/>
      <c r="C30" s="57"/>
      <c r="D30" s="57"/>
      <c r="E30" s="57"/>
      <c r="F30" s="57"/>
      <c r="G30" s="57"/>
      <c r="H30" s="57"/>
      <c r="I30" s="57"/>
    </row>
    <row r="31" spans="1:10" ht="14.25" customHeight="1">
      <c r="A31" s="116" t="s">
        <v>304</v>
      </c>
      <c r="B31" s="117"/>
      <c r="C31" s="118"/>
      <c r="D31" s="116" t="s">
        <v>316</v>
      </c>
      <c r="E31" s="117"/>
      <c r="F31" s="118"/>
      <c r="G31" s="116" t="s">
        <v>331</v>
      </c>
      <c r="H31" s="117"/>
      <c r="I31" s="118"/>
      <c r="J31" s="34"/>
    </row>
    <row r="32" spans="1:10" ht="14.25" customHeight="1">
      <c r="A32" s="108"/>
      <c r="B32" s="109"/>
      <c r="C32" s="110"/>
      <c r="D32" s="108"/>
      <c r="E32" s="109"/>
      <c r="F32" s="110"/>
      <c r="G32" s="108"/>
      <c r="H32" s="109"/>
      <c r="I32" s="110"/>
      <c r="J32" s="34"/>
    </row>
    <row r="33" spans="1:10" ht="14.25" customHeight="1">
      <c r="A33" s="108"/>
      <c r="B33" s="109"/>
      <c r="C33" s="110"/>
      <c r="D33" s="108"/>
      <c r="E33" s="109"/>
      <c r="F33" s="110"/>
      <c r="G33" s="108"/>
      <c r="H33" s="109"/>
      <c r="I33" s="110"/>
      <c r="J33" s="34"/>
    </row>
    <row r="34" spans="1:10" ht="14.25" customHeight="1">
      <c r="A34" s="108"/>
      <c r="B34" s="109"/>
      <c r="C34" s="110"/>
      <c r="D34" s="108"/>
      <c r="E34" s="109"/>
      <c r="F34" s="110"/>
      <c r="G34" s="108"/>
      <c r="H34" s="109"/>
      <c r="I34" s="110"/>
      <c r="J34" s="34"/>
    </row>
    <row r="35" spans="1:10" ht="14.25" customHeight="1">
      <c r="A35" s="111" t="s">
        <v>305</v>
      </c>
      <c r="B35" s="112"/>
      <c r="C35" s="113"/>
      <c r="D35" s="111" t="s">
        <v>305</v>
      </c>
      <c r="E35" s="112"/>
      <c r="F35" s="113"/>
      <c r="G35" s="111" t="s">
        <v>305</v>
      </c>
      <c r="H35" s="112"/>
      <c r="I35" s="113"/>
      <c r="J35" s="34"/>
    </row>
    <row r="36" spans="1:9" ht="11.25" customHeight="1">
      <c r="A36" s="58" t="s">
        <v>61</v>
      </c>
      <c r="B36" s="45"/>
      <c r="C36" s="45"/>
      <c r="D36" s="45"/>
      <c r="E36" s="45"/>
      <c r="F36" s="45"/>
      <c r="G36" s="45"/>
      <c r="H36" s="45"/>
      <c r="I36" s="45"/>
    </row>
    <row r="37" spans="1:9" ht="409.5" customHeight="1" hidden="1">
      <c r="A37" s="84"/>
      <c r="B37" s="85"/>
      <c r="C37" s="85"/>
      <c r="D37" s="85"/>
      <c r="E37" s="85"/>
      <c r="F37" s="85"/>
      <c r="G37" s="85"/>
      <c r="H37" s="85"/>
      <c r="I37" s="85"/>
    </row>
  </sheetData>
  <sheetProtection/>
  <mergeCells count="8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4" sqref="G14"/>
    </sheetView>
  </sheetViews>
  <sheetFormatPr defaultColWidth="9.140625" defaultRowHeight="12.75"/>
  <sheetData>
    <row r="1" spans="1:5" ht="15.75">
      <c r="A1" s="68" t="s">
        <v>336</v>
      </c>
      <c r="B1" s="69"/>
      <c r="C1" s="69"/>
      <c r="D1" s="69"/>
      <c r="E1" s="70"/>
    </row>
    <row r="5" spans="1:7" ht="12.75">
      <c r="A5" s="71" t="s">
        <v>337</v>
      </c>
      <c r="B5" s="72"/>
      <c r="C5" s="72"/>
      <c r="D5" s="72"/>
      <c r="E5" s="72"/>
      <c r="F5" s="72"/>
      <c r="G5" s="73" t="s">
        <v>338</v>
      </c>
    </row>
    <row r="6" spans="1:7" ht="12.75">
      <c r="A6" s="74"/>
      <c r="B6" s="72"/>
      <c r="C6" s="72"/>
      <c r="D6" s="72"/>
      <c r="E6" s="72"/>
      <c r="F6" s="72"/>
      <c r="G6" s="75"/>
    </row>
    <row r="7" spans="1:7" ht="12.75">
      <c r="A7" s="71" t="s">
        <v>339</v>
      </c>
      <c r="B7" s="72"/>
      <c r="C7" s="72"/>
      <c r="D7" s="72"/>
      <c r="E7" s="72"/>
      <c r="F7" s="72"/>
      <c r="G7" s="76"/>
    </row>
    <row r="8" spans="1:7" ht="12.75">
      <c r="A8" s="71" t="s">
        <v>340</v>
      </c>
      <c r="B8" s="72"/>
      <c r="C8" s="72"/>
      <c r="D8" s="72"/>
      <c r="E8" s="72"/>
      <c r="F8" s="72"/>
      <c r="G8" s="76"/>
    </row>
    <row r="9" spans="1:7" ht="12.75">
      <c r="A9" s="71" t="s">
        <v>341</v>
      </c>
      <c r="B9" s="72"/>
      <c r="C9" s="72"/>
      <c r="D9" s="72"/>
      <c r="E9" s="72"/>
      <c r="F9" s="72"/>
      <c r="G9" s="76"/>
    </row>
    <row r="10" spans="1:7" ht="12.75">
      <c r="A10" s="71" t="s">
        <v>342</v>
      </c>
      <c r="B10" s="72"/>
      <c r="C10" s="72"/>
      <c r="D10" s="72"/>
      <c r="E10" s="72"/>
      <c r="F10" s="72"/>
      <c r="G10" s="76"/>
    </row>
    <row r="11" spans="1:7" ht="12.75">
      <c r="A11" s="71" t="s">
        <v>343</v>
      </c>
      <c r="B11" s="72"/>
      <c r="C11" s="72"/>
      <c r="D11" s="72"/>
      <c r="E11" s="72"/>
      <c r="F11" s="72"/>
      <c r="G11" s="76"/>
    </row>
    <row r="14" spans="1:7" ht="12.75">
      <c r="A14" s="77" t="s">
        <v>344</v>
      </c>
      <c r="B14" s="78"/>
      <c r="C14" s="78"/>
      <c r="D14" s="78"/>
      <c r="E14" s="78"/>
      <c r="F14" s="78"/>
      <c r="G14" s="7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Markéta Kolodziejová</cp:lastModifiedBy>
  <dcterms:created xsi:type="dcterms:W3CDTF">2014-06-07T13:47:51Z</dcterms:created>
  <dcterms:modified xsi:type="dcterms:W3CDTF">2014-06-30T10:50:53Z</dcterms:modified>
  <cp:category/>
  <cp:version/>
  <cp:contentType/>
  <cp:contentStatus/>
</cp:coreProperties>
</file>