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1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Krycí list rozpočtu" sheetId="5" r:id="rId5"/>
    <sheet name="Vedlejší rozpočtové náklady" sheetId="6" r:id="rId6"/>
  </sheets>
  <definedNames/>
  <calcPr fullCalcOnLoad="1"/>
</workbook>
</file>

<file path=xl/sharedStrings.xml><?xml version="1.0" encoding="utf-8"?>
<sst xmlns="http://schemas.openxmlformats.org/spreadsheetml/2006/main" count="829" uniqueCount="348">
  <si>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</si>
  <si>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</si>
  <si>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</si>
  <si>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</si>
  <si>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</si>
  <si>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</si>
  <si>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</si>
  <si>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</si>
  <si>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</si>
  <si>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</si>
  <si>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</si>
  <si>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</si>
  <si>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</si>
  <si>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</si>
  <si>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</si>
  <si>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</si>
  <si>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</si>
  <si>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</si>
  <si>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</si>
  <si>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</si>
  <si>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</si>
  <si>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</si>
  <si>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</si>
  <si>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</si>
  <si>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</si>
  <si>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</si>
  <si>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</si>
  <si>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</si>
  <si>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</si>
  <si>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</si>
  <si>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</si>
  <si>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</si>
  <si>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</si>
  <si>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</si>
  <si>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</si>
  <si>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</si>
  <si>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</si>
  <si>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</si>
  <si>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</si>
  <si>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</si>
  <si>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</si>
  <si>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</si>
  <si>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</si>
  <si>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</si>
  <si>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</si>
  <si>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</si>
  <si>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</si>
  <si>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Poznámka:</t>
  </si>
  <si>
    <t>Objekt</t>
  </si>
  <si>
    <t>Kód</t>
  </si>
  <si>
    <t>0</t>
  </si>
  <si>
    <t>010001116VD</t>
  </si>
  <si>
    <t>317944311RT3</t>
  </si>
  <si>
    <t>317120033RAC</t>
  </si>
  <si>
    <t>317120033RAD</t>
  </si>
  <si>
    <t>342270044RAA</t>
  </si>
  <si>
    <t>342261213R00</t>
  </si>
  <si>
    <t>342280060RA0</t>
  </si>
  <si>
    <t>61</t>
  </si>
  <si>
    <t>612421637R00</t>
  </si>
  <si>
    <t>64</t>
  </si>
  <si>
    <t>642940014RA0</t>
  </si>
  <si>
    <t>711</t>
  </si>
  <si>
    <t>711111001R00</t>
  </si>
  <si>
    <t>711112002R00</t>
  </si>
  <si>
    <t>766</t>
  </si>
  <si>
    <t>766629304R00</t>
  </si>
  <si>
    <t>767</t>
  </si>
  <si>
    <t>767581801R00</t>
  </si>
  <si>
    <t>771</t>
  </si>
  <si>
    <t>771100010RA0</t>
  </si>
  <si>
    <t>771575107RT2</t>
  </si>
  <si>
    <t>771579795R00</t>
  </si>
  <si>
    <t>776</t>
  </si>
  <si>
    <t>776101115R00</t>
  </si>
  <si>
    <t>776520010RA0</t>
  </si>
  <si>
    <t>781</t>
  </si>
  <si>
    <t>781101111R00</t>
  </si>
  <si>
    <t>781470010RA0</t>
  </si>
  <si>
    <t>783</t>
  </si>
  <si>
    <t>783000003VD</t>
  </si>
  <si>
    <t>784</t>
  </si>
  <si>
    <t>784432271R00</t>
  </si>
  <si>
    <t>784450025RA0</t>
  </si>
  <si>
    <t>95</t>
  </si>
  <si>
    <t>952901111R00</t>
  </si>
  <si>
    <t>96</t>
  </si>
  <si>
    <t>962031133R00</t>
  </si>
  <si>
    <t>965081812R00</t>
  </si>
  <si>
    <t>968061125R00</t>
  </si>
  <si>
    <t>968071125R00</t>
  </si>
  <si>
    <t>968071126R00</t>
  </si>
  <si>
    <t>97</t>
  </si>
  <si>
    <t>978059511R00</t>
  </si>
  <si>
    <t>H99</t>
  </si>
  <si>
    <t>999281105R00</t>
  </si>
  <si>
    <t>S</t>
  </si>
  <si>
    <t>979082212R00</t>
  </si>
  <si>
    <t>979087113R00</t>
  </si>
  <si>
    <t>979081111R00</t>
  </si>
  <si>
    <t>979081121R00</t>
  </si>
  <si>
    <t>979999999R00</t>
  </si>
  <si>
    <t>0010003VD</t>
  </si>
  <si>
    <t>597000000VD</t>
  </si>
  <si>
    <t>001000001VD</t>
  </si>
  <si>
    <t>POLIKLINIKA LITVÍNOV - ODDĚLENÍ REHABILITACE A LÉČBY</t>
  </si>
  <si>
    <t>D.1.1. ARCHITEKTONICKO STAVEBNÍ ŘEŠENÍ</t>
  </si>
  <si>
    <t>Litvínov, ul. Žižkova čp. 151</t>
  </si>
  <si>
    <t>Zkrácený popis / Varianta</t>
  </si>
  <si>
    <t>Rozměry</t>
  </si>
  <si>
    <t>Všeobecné konstrukce a práce</t>
  </si>
  <si>
    <t>HZS - kontrola stavu podlahy</t>
  </si>
  <si>
    <t>Zdi podpěrné a volné</t>
  </si>
  <si>
    <t>Válcované nosníky do č.12 osazené do otvorů včetně dodávky profilu I č.12</t>
  </si>
  <si>
    <t>Překlad nenosný Ytong nad otvorem š. 800 mm</t>
  </si>
  <si>
    <t>Překlad nenosný Ytong nad otvorem š. 1500 mm</t>
  </si>
  <si>
    <t>Stěny a příčky</t>
  </si>
  <si>
    <t>Příčka z desek Ytong hladkých, tloušťka 15 cm</t>
  </si>
  <si>
    <t>Příčka sádrokarton. ocel.kce, prostor por parapetem</t>
  </si>
  <si>
    <t>Podhled zavěšený z desek sádrokartonových</t>
  </si>
  <si>
    <t>Úprava povrchů vnitřní</t>
  </si>
  <si>
    <t>Omítka vnitřní zdiva, MVC</t>
  </si>
  <si>
    <t>Výplně otvorů</t>
  </si>
  <si>
    <t>Dveře jednokřídlové 80/197 včetně zárubně</t>
  </si>
  <si>
    <t>Izolace proti vodě</t>
  </si>
  <si>
    <t>Izolace proti vlhkosti vodor. hydrostěrkou</t>
  </si>
  <si>
    <t>Izolace proti vlhkosti svislá hydrostěrkou</t>
  </si>
  <si>
    <t>Konstrukce truhlářské</t>
  </si>
  <si>
    <t>Montáž dveří plastových</t>
  </si>
  <si>
    <t>Konstrukce doplňkové stavební (zámečnické)</t>
  </si>
  <si>
    <t>Demontáž podhledů</t>
  </si>
  <si>
    <t>Podlahy z dlaždic</t>
  </si>
  <si>
    <t>Vyrovnání podk.samoniv.hmotou včetně dodávky</t>
  </si>
  <si>
    <t>Montáž podlah keram., tmel</t>
  </si>
  <si>
    <t>Příplatek za spárování vodotěsnou hmotou - plošně</t>
  </si>
  <si>
    <t>Podlahy povlakové</t>
  </si>
  <si>
    <t>Vyrovnání podkladů samonivelační hmotou včetně dodávky</t>
  </si>
  <si>
    <t>Podlaha povlaková z PVC pásů, soklík</t>
  </si>
  <si>
    <t>Obklady (keramické)</t>
  </si>
  <si>
    <t>Vyrovnání podkladu po obklad</t>
  </si>
  <si>
    <t>Obklad vnitřní keramický včetně dodávky materiálu dle výběru investora</t>
  </si>
  <si>
    <t>Nátěry</t>
  </si>
  <si>
    <t>Odmaštění a očištění podkladu pod dlažbu a PVC</t>
  </si>
  <si>
    <t>Malby</t>
  </si>
  <si>
    <t>Malba klihová</t>
  </si>
  <si>
    <t>Malba na SDK</t>
  </si>
  <si>
    <t>Různé dokončovací konstrukce a práce na pozemních stavbách</t>
  </si>
  <si>
    <t>Vyčištění budov o výšce podlaží do 4 m</t>
  </si>
  <si>
    <t>Bourání konstrukcí</t>
  </si>
  <si>
    <t>Bourání příček cihelných tl. 15 cm</t>
  </si>
  <si>
    <t>Bourání dlaždic keramických</t>
  </si>
  <si>
    <t>Vyvěšení dřevěných dveřních křídel pl. do 2 m2</t>
  </si>
  <si>
    <t>Vyvěšení, zavěšení kovových křídel dveří pl. 2 m2</t>
  </si>
  <si>
    <t>Vyvěšení, zavěšení kovových křídel dveří nad 2 m2</t>
  </si>
  <si>
    <t>Prorážení otvorů a ostatní bourací práce</t>
  </si>
  <si>
    <t>Odsekání vnitřních obkladů stěn</t>
  </si>
  <si>
    <t>Ostatní přesuny hmot</t>
  </si>
  <si>
    <t>Přesun hmot pro opravy a údržbu do výšky 6 m</t>
  </si>
  <si>
    <t>Přesuny sutí</t>
  </si>
  <si>
    <t>Vodorovná doprava suti po suchu do 50 m</t>
  </si>
  <si>
    <t>Nakládání vybouraných hmot na dopravní prostředky</t>
  </si>
  <si>
    <t>Odvoz suti a vybour. hmot na skládku do 1 km</t>
  </si>
  <si>
    <t>Příplatek k odvozu za každý další 1 km</t>
  </si>
  <si>
    <t>Poplatek za skladku</t>
  </si>
  <si>
    <t>Ostatní materiál</t>
  </si>
  <si>
    <t>Stěrková hydroizolace</t>
  </si>
  <si>
    <t>Dlažba protiskuzová dle výběru investora</t>
  </si>
  <si>
    <t>Dlažba s koeficientem tření 0,5 dle výběru investora</t>
  </si>
  <si>
    <t>Dodávka plast. výplní dveří dle výpisu</t>
  </si>
  <si>
    <t>Doba výstavby:</t>
  </si>
  <si>
    <t>Začátek výstavby:</t>
  </si>
  <si>
    <t>Konec výstavby:</t>
  </si>
  <si>
    <t>Zpracováno dne:</t>
  </si>
  <si>
    <t>M.j.</t>
  </si>
  <si>
    <t>hod</t>
  </si>
  <si>
    <t>t</t>
  </si>
  <si>
    <t>kus</t>
  </si>
  <si>
    <t>m2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</si>
  <si>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</si>
  <si>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</si>
  <si>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</si>
  <si>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</si>
  <si>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</si>
  <si>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</si>
  <si>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</si>
  <si>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</si>
  <si>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</si>
  <si>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</si>
  <si>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</si>
  <si>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Krušnohorská poliklinika Litvínov</t>
  </si>
  <si>
    <t>SDP LITVÍNOV, spol. s r.o.</t>
  </si>
  <si>
    <t>dle výběrového řízení</t>
  </si>
  <si>
    <t>Kamila Možná</t>
  </si>
  <si>
    <t>Celkem</t>
  </si>
  <si>
    <t>Hmotnost (t)</t>
  </si>
  <si>
    <t>Cenová</t>
  </si>
  <si>
    <t>soustava</t>
  </si>
  <si>
    <t>RTS II / 2013</t>
  </si>
  <si>
    <t>RTS I / 2013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</si>
  <si>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</si>
  <si>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</si>
  <si>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</si>
  <si>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</si>
  <si>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</si>
  <si>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</si>
  <si>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</si>
  <si>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</si>
  <si>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</si>
  <si>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</si>
  <si>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</si>
  <si>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</si>
  <si>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</si>
  <si>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</si>
  <si>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</si>
  <si>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</si>
  <si>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</si>
  <si>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</si>
  <si>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</si>
  <si>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</si>
  <si>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</si>
  <si>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2;zpráva;</t>
  </si>
  <si>
    <t>1,2*11,1/1000;nový stav;</t>
  </si>
  <si>
    <t>3;nad otvory š. 800 mm;</t>
  </si>
  <si>
    <t>1;nad otvorem š. 1500mm;</t>
  </si>
  <si>
    <t>(1,3+1,77+0,15+0,45+4,83+0,15+0,45+0,1+0,8+0,1)*3,3;nový stav;</t>
  </si>
  <si>
    <t>(2,28+1,9+2,02+2,4*2)*3,3;nový stav;</t>
  </si>
  <si>
    <t>-(0,8*1,97*3+0,15*1,97);dveře</t>
  </si>
  <si>
    <t>0,9*2;zazdívka;</t>
  </si>
  <si>
    <t>0,3*1,1;nový stav;</t>
  </si>
  <si>
    <t>13,77;m.č. 1-05;</t>
  </si>
  <si>
    <t>66,41;viz příčky;</t>
  </si>
  <si>
    <t>0,9*2;zazdívka otvorů;</t>
  </si>
  <si>
    <t>2;dveře 2L;</t>
  </si>
  <si>
    <t>1;dveře 2P;</t>
  </si>
  <si>
    <t>99,91;m.č. 1-03;</t>
  </si>
  <si>
    <t>(1,3+7,24+0,16*2+1,3+1,77+0,41+0,6+0,45+0,15+4,83+0,1+0,6+0,68+0,6+2,03)*0,5</t>
  </si>
  <si>
    <t>-(0,6*2*0,5);otvory</t>
  </si>
  <si>
    <t>(2,28+0,44+2,02+0,45+11,75+0,99+2,49+1,45+0,15)*0,5</t>
  </si>
  <si>
    <t>2*0,5</t>
  </si>
  <si>
    <t>(1,36+1,18)*2*2*2-0,6*2*2</t>
  </si>
  <si>
    <t>0,4*4*0,5*2;sloupy;</t>
  </si>
  <si>
    <t>;nový stav;</t>
  </si>
  <si>
    <t>1+1</t>
  </si>
  <si>
    <t>(2,85+0,15+4,83+2,85+0,15)*0,15;v místě nových příček;</t>
  </si>
  <si>
    <t>13,77;plocha mč. 1-05;</t>
  </si>
  <si>
    <t>;B5;</t>
  </si>
  <si>
    <t>99,91;mčm. 1-03;</t>
  </si>
  <si>
    <t>3,53;m.č. 1-01;</t>
  </si>
  <si>
    <t>9,88;m.č. 1-04;</t>
  </si>
  <si>
    <t>18,17;m.č. 1-02;</t>
  </si>
  <si>
    <t>31,94*1,03; pokládka krát ztratné;</t>
  </si>
  <si>
    <t>(1,3+7,24+0,16*2+1,3+1,77+0,41+0,6+0,45+0,15+4,83+0,1+0,6+0,68+0,6+2,03)*3,27</t>
  </si>
  <si>
    <t>-(0,6*2*3);otvory</t>
  </si>
  <si>
    <t>(2,28+0,44+2,02+0,45+11,75+0,99+2,49+1,45+0,15)*2,38</t>
  </si>
  <si>
    <t>2*1,8</t>
  </si>
  <si>
    <t>0,5*4*3,27*4;sloupy;</t>
  </si>
  <si>
    <t>161,67*1,03;viz vyrovnání podkladu krárt ztratné;</t>
  </si>
  <si>
    <t>148,48;viz bourání dlažby;</t>
  </si>
  <si>
    <t>68,21*2;viz příčky;</t>
  </si>
  <si>
    <t>-74,4;odečet keramickcýh obkladů;</t>
  </si>
  <si>
    <t>0,33*2;viz příčky;</t>
  </si>
  <si>
    <t>13,77;viz podhledy;</t>
  </si>
  <si>
    <t>113,32;viz dlažba;</t>
  </si>
  <si>
    <t>31,94;viz PVC;</t>
  </si>
  <si>
    <t>2,5*3,3;B1;</t>
  </si>
  <si>
    <t>3,53+18,17+99,91+9,88+13,77;podlhaové plochy;</t>
  </si>
  <si>
    <t>(0,2+5,35+1,9+2,02+0,15+2,85+0,15+4,83+4)*0,15;pod příčkami;</t>
  </si>
  <si>
    <t>2;B5;</t>
  </si>
  <si>
    <t>1;B6;</t>
  </si>
  <si>
    <t>0,9*1,97;B6;</t>
  </si>
  <si>
    <t>1,5*1,97;B6;</t>
  </si>
  <si>
    <t>(1,36+1,18)*2*2*2;sprchy;</t>
  </si>
  <si>
    <t>0,6*2*2*;otvory;</t>
  </si>
  <si>
    <t>(4,7+4,5+8,5+1+2,5+1,45)*2,38;v místě VZT;</t>
  </si>
  <si>
    <t>0,9*2;dveře;</t>
  </si>
  <si>
    <t>(1,3+10,6+0,16*2+1,3+2,03+0,6+0,68+0,6+0,1)*3,27;ostatní;</t>
  </si>
  <si>
    <t>-0,6*3,27*2;otvory;</t>
  </si>
  <si>
    <t>0,6*4*3,27*2;sloupy;</t>
  </si>
  <si>
    <t>(0,7+1,45)*2*3,27-0,6*3,27;vestavba;</t>
  </si>
  <si>
    <t>;B3;</t>
  </si>
  <si>
    <t>22,57304*14;odvoz do 15 km;</t>
  </si>
  <si>
    <t>99,91*1,15;viz montáž krát ztratné;</t>
  </si>
  <si>
    <t>42,12*1,15;viz montáž krárt ztratné;</t>
  </si>
  <si>
    <t>99,91*1,03;viz pokládka krát ztratné;</t>
  </si>
  <si>
    <t>(3,53+9,88)*1,03</t>
  </si>
  <si>
    <t>;viz pokládka krát ztratné;</t>
  </si>
  <si>
    <t>0,8*1,97;dveře 1P;</t>
  </si>
  <si>
    <t>1,5*1,97;dveře 3D;</t>
  </si>
  <si>
    <t>Cenová soustava</t>
  </si>
  <si>
    <t>Harmonogram</t>
  </si>
  <si>
    <t>Nh</t>
  </si>
  <si>
    <t>Zdroje</t>
  </si>
  <si>
    <t>Trvání</t>
  </si>
  <si>
    <t>Začátek</t>
  </si>
  <si>
    <t>Konec</t>
  </si>
  <si>
    <t>Rozpočet (Kč)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</si>
  <si>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</si>
  <si>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</si>
  <si>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</si>
  <si>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</si>
  <si>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</si>
  <si>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</si>
  <si>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</si>
  <si>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</si>
  <si>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</si>
  <si>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</si>
  <si>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</si>
  <si>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</si>
  <si>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</si>
  <si>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</si>
  <si>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</si>
  <si>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</si>
  <si>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</si>
  <si>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</si>
  <si>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</si>
  <si>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</si>
  <si>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</si>
  <si>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</si>
  <si>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</si>
  <si>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</si>
  <si>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</si>
  <si>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</si>
  <si>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</si>
  <si>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</si>
  <si>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</si>
  <si>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</si>
  <si>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</si>
  <si>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</si>
  <si>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</si>
  <si>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</si>
  <si>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</si>
  <si>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</si>
  <si>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</si>
  <si>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</si>
  <si>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</si>
  <si>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</si>
  <si>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</si>
  <si>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</si>
  <si>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</si>
  <si>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Ostatní rozpočtové náklady stavby ORN</t>
  </si>
  <si>
    <t>Název</t>
  </si>
  <si>
    <t>Kč</t>
  </si>
  <si>
    <t>Vytýčení sítí</t>
  </si>
  <si>
    <t>Geodetické zaměření skutečného provedení</t>
  </si>
  <si>
    <t>Dokumentace skutečného provedení stavby</t>
  </si>
  <si>
    <t>Zkoušky a měření</t>
  </si>
  <si>
    <t>Dopravní opatření</t>
  </si>
  <si>
    <t>Celkem ORN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</si>
</sst>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9" fillId="33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0" fillId="33" borderId="34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1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0" fillId="34" borderId="38" xfId="0" applyFont="1" applyFill="1" applyBorder="1" applyAlignment="1">
      <alignment vertical="center"/>
    </xf>
    <xf numFmtId="0" fontId="1" fillId="34" borderId="39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2" fontId="1" fillId="0" borderId="29" xfId="0" applyNumberFormat="1" applyFont="1" applyBorder="1" applyAlignment="1">
      <alignment vertical="center"/>
    </xf>
    <xf numFmtId="0" fontId="3" fillId="34" borderId="38" xfId="0" applyFont="1" applyFill="1" applyBorder="1" applyAlignment="1">
      <alignment vertical="center"/>
    </xf>
    <xf numFmtId="0" fontId="3" fillId="34" borderId="39" xfId="0" applyFont="1" applyFill="1" applyBorder="1" applyAlignment="1">
      <alignment vertical="center"/>
    </xf>
    <xf numFmtId="2" fontId="3" fillId="34" borderId="3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10" fillId="33" borderId="38" xfId="0" applyNumberFormat="1" applyFont="1" applyFill="1" applyBorder="1" applyAlignment="1" applyProtection="1">
      <alignment horizontal="left" vertical="center"/>
      <protection/>
    </xf>
    <xf numFmtId="0" fontId="10" fillId="33" borderId="39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9" xfId="0" applyNumberFormat="1" applyFont="1" applyFill="1" applyBorder="1" applyAlignment="1" applyProtection="1">
      <alignment horizontal="left" vertical="center"/>
      <protection/>
    </xf>
    <xf numFmtId="49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0" fontId="11" fillId="0" borderId="5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zoomScalePageLayoutView="0"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8.5742187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3" width="11.7109375" style="0" customWidth="1"/>
    <col min="14" max="37" width="12.140625" style="0" hidden="1" customWidth="1"/>
  </cols>
  <sheetData>
    <row r="1" spans="1:13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2.75">
      <c r="A2" s="82" t="s">
        <v>1</v>
      </c>
      <c r="B2" s="83"/>
      <c r="C2" s="83"/>
      <c r="D2" s="86" t="s">
        <v>105</v>
      </c>
      <c r="E2" s="88" t="s">
        <v>169</v>
      </c>
      <c r="F2" s="83"/>
      <c r="G2" s="88"/>
      <c r="H2" s="83"/>
      <c r="I2" s="89" t="s">
        <v>184</v>
      </c>
      <c r="J2" s="89" t="s">
        <v>189</v>
      </c>
      <c r="K2" s="83"/>
      <c r="L2" s="83"/>
      <c r="M2" s="90"/>
      <c r="N2" s="33"/>
    </row>
    <row r="3" spans="1:14" ht="12.75">
      <c r="A3" s="84"/>
      <c r="B3" s="85"/>
      <c r="C3" s="85"/>
      <c r="D3" s="87"/>
      <c r="E3" s="85"/>
      <c r="F3" s="85"/>
      <c r="G3" s="85"/>
      <c r="H3" s="85"/>
      <c r="I3" s="85"/>
      <c r="J3" s="85"/>
      <c r="K3" s="85"/>
      <c r="L3" s="85"/>
      <c r="M3" s="91"/>
      <c r="N3" s="33"/>
    </row>
    <row r="4" spans="1:14" ht="12.75">
      <c r="A4" s="92" t="s">
        <v>2</v>
      </c>
      <c r="B4" s="85"/>
      <c r="C4" s="85"/>
      <c r="D4" s="93" t="s">
        <v>106</v>
      </c>
      <c r="E4" s="94" t="s">
        <v>170</v>
      </c>
      <c r="F4" s="85"/>
      <c r="G4" s="94" t="s">
        <v>6</v>
      </c>
      <c r="H4" s="85"/>
      <c r="I4" s="93" t="s">
        <v>185</v>
      </c>
      <c r="J4" s="93" t="s">
        <v>190</v>
      </c>
      <c r="K4" s="85"/>
      <c r="L4" s="85"/>
      <c r="M4" s="91"/>
      <c r="N4" s="33"/>
    </row>
    <row r="5" spans="1:14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91"/>
      <c r="N5" s="33"/>
    </row>
    <row r="6" spans="1:14" ht="12.75">
      <c r="A6" s="92" t="s">
        <v>3</v>
      </c>
      <c r="B6" s="85"/>
      <c r="C6" s="85"/>
      <c r="D6" s="93" t="s">
        <v>107</v>
      </c>
      <c r="E6" s="94" t="s">
        <v>171</v>
      </c>
      <c r="F6" s="85"/>
      <c r="G6" s="85"/>
      <c r="H6" s="85"/>
      <c r="I6" s="93" t="s">
        <v>186</v>
      </c>
      <c r="J6" s="93" t="s">
        <v>191</v>
      </c>
      <c r="K6" s="85"/>
      <c r="L6" s="85"/>
      <c r="M6" s="91"/>
      <c r="N6" s="33"/>
    </row>
    <row r="7" spans="1:14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91"/>
      <c r="N7" s="33"/>
    </row>
    <row r="8" spans="1:14" ht="12.75">
      <c r="A8" s="92" t="s">
        <v>4</v>
      </c>
      <c r="B8" s="85"/>
      <c r="C8" s="85"/>
      <c r="D8" s="93"/>
      <c r="E8" s="94" t="s">
        <v>172</v>
      </c>
      <c r="F8" s="85"/>
      <c r="G8" s="97">
        <v>41797</v>
      </c>
      <c r="H8" s="85"/>
      <c r="I8" s="93" t="s">
        <v>187</v>
      </c>
      <c r="J8" s="93" t="s">
        <v>192</v>
      </c>
      <c r="K8" s="85"/>
      <c r="L8" s="85"/>
      <c r="M8" s="91"/>
      <c r="N8" s="33"/>
    </row>
    <row r="9" spans="1:14" ht="12.7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8"/>
      <c r="N9" s="33"/>
    </row>
    <row r="10" spans="1:14" ht="12.75">
      <c r="A10" s="1" t="s">
        <v>5</v>
      </c>
      <c r="B10" s="10" t="s">
        <v>48</v>
      </c>
      <c r="C10" s="10" t="s">
        <v>49</v>
      </c>
      <c r="D10" s="10" t="s">
        <v>108</v>
      </c>
      <c r="E10" s="10" t="s">
        <v>173</v>
      </c>
      <c r="F10" s="16" t="s">
        <v>178</v>
      </c>
      <c r="G10" s="20" t="s">
        <v>179</v>
      </c>
      <c r="H10" s="99" t="s">
        <v>181</v>
      </c>
      <c r="I10" s="100"/>
      <c r="J10" s="101"/>
      <c r="K10" s="99" t="s">
        <v>194</v>
      </c>
      <c r="L10" s="101"/>
      <c r="M10" s="28" t="s">
        <v>195</v>
      </c>
      <c r="N10" s="34"/>
    </row>
    <row r="11" spans="1:24" ht="12.75">
      <c r="A11" s="2" t="s">
        <v>6</v>
      </c>
      <c r="B11" s="11" t="s">
        <v>6</v>
      </c>
      <c r="C11" s="11" t="s">
        <v>6</v>
      </c>
      <c r="D11" s="14" t="s">
        <v>109</v>
      </c>
      <c r="E11" s="11" t="s">
        <v>6</v>
      </c>
      <c r="F11" s="11" t="s">
        <v>6</v>
      </c>
      <c r="G11" s="21" t="s">
        <v>180</v>
      </c>
      <c r="H11" s="23" t="s">
        <v>182</v>
      </c>
      <c r="I11" s="24" t="s">
        <v>188</v>
      </c>
      <c r="J11" s="25" t="s">
        <v>193</v>
      </c>
      <c r="K11" s="23" t="s">
        <v>179</v>
      </c>
      <c r="L11" s="25" t="s">
        <v>193</v>
      </c>
      <c r="M11" s="29" t="s">
        <v>196</v>
      </c>
      <c r="N11" s="34"/>
      <c r="P11" s="27" t="s">
        <v>199</v>
      </c>
      <c r="Q11" s="27" t="s">
        <v>200</v>
      </c>
      <c r="R11" s="27" t="s">
        <v>205</v>
      </c>
      <c r="S11" s="27" t="s">
        <v>206</v>
      </c>
      <c r="T11" s="27" t="s">
        <v>207</v>
      </c>
      <c r="U11" s="27" t="s">
        <v>208</v>
      </c>
      <c r="V11" s="27" t="s">
        <v>209</v>
      </c>
      <c r="W11" s="27" t="s">
        <v>210</v>
      </c>
      <c r="X11" s="27" t="s">
        <v>211</v>
      </c>
    </row>
    <row r="12" spans="1:37" ht="12.75">
      <c r="A12" s="3"/>
      <c r="B12" s="12"/>
      <c r="C12" s="12" t="s">
        <v>50</v>
      </c>
      <c r="D12" s="102" t="s">
        <v>110</v>
      </c>
      <c r="E12" s="103"/>
      <c r="F12" s="103"/>
      <c r="G12" s="103"/>
      <c r="H12" s="36">
        <f>SUM(H13:H13)</f>
        <v>0</v>
      </c>
      <c r="I12" s="36">
        <f>SUM(I13:I13)</f>
        <v>0</v>
      </c>
      <c r="J12" s="36">
        <f>H12+I12</f>
        <v>0</v>
      </c>
      <c r="K12" s="26"/>
      <c r="L12" s="36">
        <f>SUM(L13:L13)</f>
        <v>0</v>
      </c>
      <c r="M12" s="26"/>
      <c r="P12" s="37">
        <f>IF(Q12="PR",J12,SUM(O13:O13))</f>
        <v>0</v>
      </c>
      <c r="Q12" s="27" t="s">
        <v>201</v>
      </c>
      <c r="R12" s="37">
        <f>IF(Q12="HS",H12,0)</f>
        <v>0</v>
      </c>
      <c r="S12" s="37">
        <f>IF(Q12="HS",I12-P12,0)</f>
        <v>0</v>
      </c>
      <c r="T12" s="37">
        <f>IF(Q12="PS",H12,0)</f>
        <v>0</v>
      </c>
      <c r="U12" s="37">
        <f>IF(Q12="PS",I12-P12,0)</f>
        <v>0</v>
      </c>
      <c r="V12" s="37">
        <f>IF(Q12="MP",H12,0)</f>
        <v>0</v>
      </c>
      <c r="W12" s="37">
        <f>IF(Q12="MP",I12-P12,0)</f>
        <v>0</v>
      </c>
      <c r="X12" s="37">
        <f>IF(Q12="OM",H12,0)</f>
        <v>0</v>
      </c>
      <c r="Y12" s="27"/>
      <c r="AI12" s="37">
        <f>SUM(Z13:Z13)</f>
        <v>0</v>
      </c>
      <c r="AJ12" s="37">
        <f>SUM(AA13:AA13)</f>
        <v>0</v>
      </c>
      <c r="AK12" s="37">
        <f>SUM(AB13:AB13)</f>
        <v>0</v>
      </c>
    </row>
    <row r="13" spans="1:32" ht="12.75">
      <c r="A13" s="4" t="s">
        <v>7</v>
      </c>
      <c r="B13" s="4"/>
      <c r="C13" s="4" t="s">
        <v>51</v>
      </c>
      <c r="D13" s="4" t="s">
        <v>111</v>
      </c>
      <c r="E13" s="4" t="s">
        <v>174</v>
      </c>
      <c r="F13" s="17">
        <v>2</v>
      </c>
      <c r="H13" s="17">
        <f>ROUND(F13*AE13,2)</f>
        <v>0</v>
      </c>
      <c r="I13" s="17">
        <f>J13-H13</f>
        <v>0</v>
      </c>
      <c r="J13" s="17">
        <f>ROUND(F13*G13,2)</f>
        <v>0</v>
      </c>
      <c r="K13" s="17">
        <v>0</v>
      </c>
      <c r="L13" s="17">
        <f>F13*K13</f>
        <v>0</v>
      </c>
      <c r="M13" s="30"/>
      <c r="N13" s="30" t="s">
        <v>7</v>
      </c>
      <c r="O13" s="17">
        <f>IF(N13="5",I13,0)</f>
        <v>0</v>
      </c>
      <c r="Z13" s="17">
        <f>IF(AD13=0,J13,0)</f>
        <v>0</v>
      </c>
      <c r="AA13" s="17">
        <f>IF(AD13=15,J13,0)</f>
        <v>0</v>
      </c>
      <c r="AB13" s="17">
        <f>IF(AD13=21,J13,0)</f>
        <v>0</v>
      </c>
      <c r="AD13" s="35">
        <v>21</v>
      </c>
      <c r="AE13" s="35">
        <f>G13*0</f>
        <v>0</v>
      </c>
      <c r="AF13" s="35">
        <f>G13*(1-0)</f>
        <v>0</v>
      </c>
    </row>
    <row r="14" spans="1:37" ht="12.75">
      <c r="A14" s="5"/>
      <c r="B14" s="13"/>
      <c r="C14" s="13" t="s">
        <v>37</v>
      </c>
      <c r="D14" s="104" t="s">
        <v>112</v>
      </c>
      <c r="E14" s="105"/>
      <c r="F14" s="105"/>
      <c r="G14" s="105"/>
      <c r="H14" s="37">
        <f>SUM(H15:H17)</f>
        <v>0</v>
      </c>
      <c r="I14" s="37">
        <f>SUM(I15:I17)</f>
        <v>0</v>
      </c>
      <c r="J14" s="37">
        <f>H14+I14</f>
        <v>0</v>
      </c>
      <c r="K14" s="27"/>
      <c r="L14" s="37">
        <f>SUM(L15:L17)</f>
        <v>0.14864</v>
      </c>
      <c r="M14" s="27"/>
      <c r="P14" s="37">
        <f>IF(Q14="PR",J14,SUM(O15:O17))</f>
        <v>0</v>
      </c>
      <c r="Q14" s="27" t="s">
        <v>201</v>
      </c>
      <c r="R14" s="37">
        <f>IF(Q14="HS",H14,0)</f>
        <v>0</v>
      </c>
      <c r="S14" s="37">
        <f>IF(Q14="HS",I14-P14,0)</f>
        <v>0</v>
      </c>
      <c r="T14" s="37">
        <f>IF(Q14="PS",H14,0)</f>
        <v>0</v>
      </c>
      <c r="U14" s="37">
        <f>IF(Q14="PS",I14-P14,0)</f>
        <v>0</v>
      </c>
      <c r="V14" s="37">
        <f>IF(Q14="MP",H14,0)</f>
        <v>0</v>
      </c>
      <c r="W14" s="37">
        <f>IF(Q14="MP",I14-P14,0)</f>
        <v>0</v>
      </c>
      <c r="X14" s="37">
        <f>IF(Q14="OM",H14,0)</f>
        <v>0</v>
      </c>
      <c r="Y14" s="27"/>
      <c r="AI14" s="37">
        <f>SUM(Z15:Z17)</f>
        <v>0</v>
      </c>
      <c r="AJ14" s="37">
        <f>SUM(AA15:AA17)</f>
        <v>0</v>
      </c>
      <c r="AK14" s="37">
        <f>SUM(AB15:AB17)</f>
        <v>0</v>
      </c>
    </row>
    <row r="15" spans="1:32" ht="12.75">
      <c r="A15" s="4" t="s">
        <v>8</v>
      </c>
      <c r="B15" s="4"/>
      <c r="C15" s="4" t="s">
        <v>52</v>
      </c>
      <c r="D15" s="4" t="s">
        <v>113</v>
      </c>
      <c r="E15" s="4" t="s">
        <v>175</v>
      </c>
      <c r="F15" s="17">
        <v>0.01</v>
      </c>
      <c r="H15" s="17">
        <f>ROUND(F15*AE15,2)</f>
        <v>0</v>
      </c>
      <c r="I15" s="17">
        <f>J15-H15</f>
        <v>0</v>
      </c>
      <c r="J15" s="17">
        <f>ROUND(F15*G15,2)</f>
        <v>0</v>
      </c>
      <c r="K15" s="17">
        <v>1.09</v>
      </c>
      <c r="L15" s="17">
        <f>F15*K15</f>
        <v>0.010900000000000002</v>
      </c>
      <c r="M15" s="30" t="s">
        <v>197</v>
      </c>
      <c r="N15" s="30" t="s">
        <v>7</v>
      </c>
      <c r="O15" s="17">
        <f>IF(N15="5",I15,0)</f>
        <v>0</v>
      </c>
      <c r="Z15" s="17">
        <f>IF(AD15=0,J15,0)</f>
        <v>0</v>
      </c>
      <c r="AA15" s="17">
        <f>IF(AD15=15,J15,0)</f>
        <v>0</v>
      </c>
      <c r="AB15" s="17">
        <f>IF(AD15=21,J15,0)</f>
        <v>0</v>
      </c>
      <c r="AD15" s="35">
        <v>21</v>
      </c>
      <c r="AE15" s="35">
        <f>G15*0.840840293890178</f>
        <v>0</v>
      </c>
      <c r="AF15" s="35">
        <f>G15*(1-0.840840293890178)</f>
        <v>0</v>
      </c>
    </row>
    <row r="16" spans="1:32" ht="12.75">
      <c r="A16" s="4" t="s">
        <v>9</v>
      </c>
      <c r="B16" s="4"/>
      <c r="C16" s="4" t="s">
        <v>53</v>
      </c>
      <c r="D16" s="4" t="s">
        <v>114</v>
      </c>
      <c r="E16" s="4" t="s">
        <v>176</v>
      </c>
      <c r="F16" s="17">
        <v>3</v>
      </c>
      <c r="H16" s="17">
        <f>ROUND(F16*AE16,2)</f>
        <v>0</v>
      </c>
      <c r="I16" s="17">
        <f>J16-H16</f>
        <v>0</v>
      </c>
      <c r="J16" s="17">
        <f>ROUND(F16*G16,2)</f>
        <v>0</v>
      </c>
      <c r="K16" s="17">
        <v>0.03265</v>
      </c>
      <c r="L16" s="17">
        <f>F16*K16</f>
        <v>0.09795</v>
      </c>
      <c r="M16" s="30" t="s">
        <v>197</v>
      </c>
      <c r="N16" s="30" t="s">
        <v>9</v>
      </c>
      <c r="O16" s="17">
        <f>IF(N16="5",I16,0)</f>
        <v>0</v>
      </c>
      <c r="Z16" s="17">
        <f>IF(AD16=0,J16,0)</f>
        <v>0</v>
      </c>
      <c r="AA16" s="17">
        <f>IF(AD16=15,J16,0)</f>
        <v>0</v>
      </c>
      <c r="AB16" s="17">
        <f>IF(AD16=21,J16,0)</f>
        <v>0</v>
      </c>
      <c r="AD16" s="35">
        <v>21</v>
      </c>
      <c r="AE16" s="35">
        <f>G16*0.758681629407087</f>
        <v>0</v>
      </c>
      <c r="AF16" s="35">
        <f>G16*(1-0.758681629407087)</f>
        <v>0</v>
      </c>
    </row>
    <row r="17" spans="1:32" ht="12.75">
      <c r="A17" s="4" t="s">
        <v>10</v>
      </c>
      <c r="B17" s="4"/>
      <c r="C17" s="4" t="s">
        <v>54</v>
      </c>
      <c r="D17" s="4" t="s">
        <v>115</v>
      </c>
      <c r="E17" s="4" t="s">
        <v>176</v>
      </c>
      <c r="F17" s="17">
        <v>1</v>
      </c>
      <c r="H17" s="17">
        <f>ROUND(F17*AE17,2)</f>
        <v>0</v>
      </c>
      <c r="I17" s="17">
        <f>J17-H17</f>
        <v>0</v>
      </c>
      <c r="J17" s="17">
        <f>ROUND(F17*G17,2)</f>
        <v>0</v>
      </c>
      <c r="K17" s="17">
        <v>0.03979</v>
      </c>
      <c r="L17" s="17">
        <f>F17*K17</f>
        <v>0.03979</v>
      </c>
      <c r="M17" s="30" t="s">
        <v>197</v>
      </c>
      <c r="N17" s="30" t="s">
        <v>9</v>
      </c>
      <c r="O17" s="17">
        <f>IF(N17="5",I17,0)</f>
        <v>0</v>
      </c>
      <c r="Z17" s="17">
        <f>IF(AD17=0,J17,0)</f>
        <v>0</v>
      </c>
      <c r="AA17" s="17">
        <f>IF(AD17=15,J17,0)</f>
        <v>0</v>
      </c>
      <c r="AB17" s="17">
        <f>IF(AD17=21,J17,0)</f>
        <v>0</v>
      </c>
      <c r="AD17" s="35">
        <v>21</v>
      </c>
      <c r="AE17" s="35">
        <f>G17*0.789703776287028</f>
        <v>0</v>
      </c>
      <c r="AF17" s="35">
        <f>G17*(1-0.789703776287028)</f>
        <v>0</v>
      </c>
    </row>
    <row r="18" spans="1:37" ht="12.75">
      <c r="A18" s="5"/>
      <c r="B18" s="13"/>
      <c r="C18" s="13" t="s">
        <v>40</v>
      </c>
      <c r="D18" s="104" t="s">
        <v>116</v>
      </c>
      <c r="E18" s="105"/>
      <c r="F18" s="105"/>
      <c r="G18" s="105"/>
      <c r="H18" s="37">
        <f>SUM(H19:H21)</f>
        <v>0</v>
      </c>
      <c r="I18" s="37">
        <f>SUM(I19:I21)</f>
        <v>0</v>
      </c>
      <c r="J18" s="37">
        <f>H18+I18</f>
        <v>0</v>
      </c>
      <c r="K18" s="27"/>
      <c r="L18" s="37">
        <f>SUM(L19:L21)</f>
        <v>7.3548763</v>
      </c>
      <c r="M18" s="27"/>
      <c r="P18" s="37">
        <f>IF(Q18="PR",J18,SUM(O19:O21))</f>
        <v>0</v>
      </c>
      <c r="Q18" s="27" t="s">
        <v>201</v>
      </c>
      <c r="R18" s="37">
        <f>IF(Q18="HS",H18,0)</f>
        <v>0</v>
      </c>
      <c r="S18" s="37">
        <f>IF(Q18="HS",I18-P18,0)</f>
        <v>0</v>
      </c>
      <c r="T18" s="37">
        <f>IF(Q18="PS",H18,0)</f>
        <v>0</v>
      </c>
      <c r="U18" s="37">
        <f>IF(Q18="PS",I18-P18,0)</f>
        <v>0</v>
      </c>
      <c r="V18" s="37">
        <f>IF(Q18="MP",H18,0)</f>
        <v>0</v>
      </c>
      <c r="W18" s="37">
        <f>IF(Q18="MP",I18-P18,0)</f>
        <v>0</v>
      </c>
      <c r="X18" s="37">
        <f>IF(Q18="OM",H18,0)</f>
        <v>0</v>
      </c>
      <c r="Y18" s="27"/>
      <c r="AI18" s="37">
        <f>SUM(Z19:Z21)</f>
        <v>0</v>
      </c>
      <c r="AJ18" s="37">
        <f>SUM(AA19:AA21)</f>
        <v>0</v>
      </c>
      <c r="AK18" s="37">
        <f>SUM(AB19:AB21)</f>
        <v>0</v>
      </c>
    </row>
    <row r="19" spans="1:32" ht="12.75">
      <c r="A19" s="4" t="s">
        <v>11</v>
      </c>
      <c r="B19" s="4"/>
      <c r="C19" s="4" t="s">
        <v>55</v>
      </c>
      <c r="D19" s="4" t="s">
        <v>117</v>
      </c>
      <c r="E19" s="4" t="s">
        <v>177</v>
      </c>
      <c r="F19" s="17">
        <v>66.41</v>
      </c>
      <c r="H19" s="17">
        <f>ROUND(F19*AE19,2)</f>
        <v>0</v>
      </c>
      <c r="I19" s="17">
        <f>J19-H19</f>
        <v>0</v>
      </c>
      <c r="J19" s="17">
        <f>ROUND(F19*G19,2)</f>
        <v>0</v>
      </c>
      <c r="K19" s="17">
        <v>0.1055</v>
      </c>
      <c r="L19" s="17">
        <f>F19*K19</f>
        <v>7.0062549999999995</v>
      </c>
      <c r="M19" s="30" t="s">
        <v>197</v>
      </c>
      <c r="N19" s="30" t="s">
        <v>9</v>
      </c>
      <c r="O19" s="17">
        <f>IF(N19="5",I19,0)</f>
        <v>0</v>
      </c>
      <c r="Z19" s="17">
        <f>IF(AD19=0,J19,0)</f>
        <v>0</v>
      </c>
      <c r="AA19" s="17">
        <f>IF(AD19=15,J19,0)</f>
        <v>0</v>
      </c>
      <c r="AB19" s="17">
        <f>IF(AD19=21,J19,0)</f>
        <v>0</v>
      </c>
      <c r="AD19" s="35">
        <v>21</v>
      </c>
      <c r="AE19" s="35">
        <f>G19*0.69300163132137</f>
        <v>0</v>
      </c>
      <c r="AF19" s="35">
        <f>G19*(1-0.69300163132137)</f>
        <v>0</v>
      </c>
    </row>
    <row r="20" spans="1:32" ht="12.75">
      <c r="A20" s="4" t="s">
        <v>12</v>
      </c>
      <c r="B20" s="4"/>
      <c r="C20" s="4" t="s">
        <v>56</v>
      </c>
      <c r="D20" s="4" t="s">
        <v>118</v>
      </c>
      <c r="E20" s="4" t="s">
        <v>177</v>
      </c>
      <c r="F20" s="17">
        <v>0.33</v>
      </c>
      <c r="H20" s="17">
        <f>ROUND(F20*AE20,2)</f>
        <v>0</v>
      </c>
      <c r="I20" s="17">
        <f>J20-H20</f>
        <v>0</v>
      </c>
      <c r="J20" s="17">
        <f>ROUND(F20*G20,2)</f>
        <v>0</v>
      </c>
      <c r="K20" s="17">
        <v>0.05247</v>
      </c>
      <c r="L20" s="17">
        <f>F20*K20</f>
        <v>0.017315100000000003</v>
      </c>
      <c r="M20" s="30" t="s">
        <v>197</v>
      </c>
      <c r="N20" s="30" t="s">
        <v>7</v>
      </c>
      <c r="O20" s="17">
        <f>IF(N20="5",I20,0)</f>
        <v>0</v>
      </c>
      <c r="Z20" s="17">
        <f>IF(AD20=0,J20,0)</f>
        <v>0</v>
      </c>
      <c r="AA20" s="17">
        <f>IF(AD20=15,J20,0)</f>
        <v>0</v>
      </c>
      <c r="AB20" s="17">
        <f>IF(AD20=21,J20,0)</f>
        <v>0</v>
      </c>
      <c r="AD20" s="35">
        <v>21</v>
      </c>
      <c r="AE20" s="35">
        <f>G20*0.536483991891188</f>
        <v>0</v>
      </c>
      <c r="AF20" s="35">
        <f>G20*(1-0.536483991891188)</f>
        <v>0</v>
      </c>
    </row>
    <row r="21" spans="1:32" ht="12.75">
      <c r="A21" s="4" t="s">
        <v>13</v>
      </c>
      <c r="B21" s="4"/>
      <c r="C21" s="4" t="s">
        <v>57</v>
      </c>
      <c r="D21" s="4" t="s">
        <v>119</v>
      </c>
      <c r="E21" s="4" t="s">
        <v>177</v>
      </c>
      <c r="F21" s="17">
        <v>13.77</v>
      </c>
      <c r="H21" s="17">
        <f>ROUND(F21*AE21,2)</f>
        <v>0</v>
      </c>
      <c r="I21" s="17">
        <f>J21-H21</f>
        <v>0</v>
      </c>
      <c r="J21" s="17">
        <f>ROUND(F21*G21,2)</f>
        <v>0</v>
      </c>
      <c r="K21" s="17">
        <v>0.02406</v>
      </c>
      <c r="L21" s="17">
        <f>F21*K21</f>
        <v>0.3313062</v>
      </c>
      <c r="M21" s="30" t="s">
        <v>197</v>
      </c>
      <c r="N21" s="30" t="s">
        <v>9</v>
      </c>
      <c r="O21" s="17">
        <f>IF(N21="5",I21,0)</f>
        <v>0</v>
      </c>
      <c r="Z21" s="17">
        <f>IF(AD21=0,J21,0)</f>
        <v>0</v>
      </c>
      <c r="AA21" s="17">
        <f>IF(AD21=15,J21,0)</f>
        <v>0</v>
      </c>
      <c r="AB21" s="17">
        <f>IF(AD21=21,J21,0)</f>
        <v>0</v>
      </c>
      <c r="AD21" s="35">
        <v>21</v>
      </c>
      <c r="AE21" s="35">
        <f>G21*0.420872301815921</f>
        <v>0</v>
      </c>
      <c r="AF21" s="35">
        <f>G21*(1-0.420872301815921)</f>
        <v>0</v>
      </c>
    </row>
    <row r="22" spans="1:37" ht="12.75">
      <c r="A22" s="5"/>
      <c r="B22" s="13"/>
      <c r="C22" s="13" t="s">
        <v>58</v>
      </c>
      <c r="D22" s="104" t="s">
        <v>120</v>
      </c>
      <c r="E22" s="105"/>
      <c r="F22" s="105"/>
      <c r="G22" s="105"/>
      <c r="H22" s="37">
        <f>SUM(H23:H23)</f>
        <v>0</v>
      </c>
      <c r="I22" s="37">
        <f>SUM(I23:I23)</f>
        <v>0</v>
      </c>
      <c r="J22" s="37">
        <f>H22+I22</f>
        <v>0</v>
      </c>
      <c r="K22" s="27"/>
      <c r="L22" s="37">
        <f>SUM(L23:L23)</f>
        <v>3.2508885999999997</v>
      </c>
      <c r="M22" s="27"/>
      <c r="P22" s="37">
        <f>IF(Q22="PR",J22,SUM(O23:O23))</f>
        <v>0</v>
      </c>
      <c r="Q22" s="27" t="s">
        <v>201</v>
      </c>
      <c r="R22" s="37">
        <f>IF(Q22="HS",H22,0)</f>
        <v>0</v>
      </c>
      <c r="S22" s="37">
        <f>IF(Q22="HS",I22-P22,0)</f>
        <v>0</v>
      </c>
      <c r="T22" s="37">
        <f>IF(Q22="PS",H22,0)</f>
        <v>0</v>
      </c>
      <c r="U22" s="37">
        <f>IF(Q22="PS",I22-P22,0)</f>
        <v>0</v>
      </c>
      <c r="V22" s="37">
        <f>IF(Q22="MP",H22,0)</f>
        <v>0</v>
      </c>
      <c r="W22" s="37">
        <f>IF(Q22="MP",I22-P22,0)</f>
        <v>0</v>
      </c>
      <c r="X22" s="37">
        <f>IF(Q22="OM",H22,0)</f>
        <v>0</v>
      </c>
      <c r="Y22" s="27"/>
      <c r="AI22" s="37">
        <f>SUM(Z23:Z23)</f>
        <v>0</v>
      </c>
      <c r="AJ22" s="37">
        <f>SUM(AA23:AA23)</f>
        <v>0</v>
      </c>
      <c r="AK22" s="37">
        <f>SUM(AB23:AB23)</f>
        <v>0</v>
      </c>
    </row>
    <row r="23" spans="1:32" ht="12.75">
      <c r="A23" s="4" t="s">
        <v>14</v>
      </c>
      <c r="B23" s="4"/>
      <c r="C23" s="4" t="s">
        <v>59</v>
      </c>
      <c r="D23" s="4" t="s">
        <v>121</v>
      </c>
      <c r="E23" s="4" t="s">
        <v>177</v>
      </c>
      <c r="F23" s="17">
        <v>68.21</v>
      </c>
      <c r="H23" s="17">
        <f>ROUND(F23*AE23,2)</f>
        <v>0</v>
      </c>
      <c r="I23" s="17">
        <f>J23-H23</f>
        <v>0</v>
      </c>
      <c r="J23" s="17">
        <f>ROUND(F23*G23,2)</f>
        <v>0</v>
      </c>
      <c r="K23" s="17">
        <v>0.04766</v>
      </c>
      <c r="L23" s="17">
        <f>F23*K23</f>
        <v>3.2508885999999997</v>
      </c>
      <c r="M23" s="30" t="s">
        <v>197</v>
      </c>
      <c r="N23" s="30" t="s">
        <v>7</v>
      </c>
      <c r="O23" s="17">
        <f>IF(N23="5",I23,0)</f>
        <v>0</v>
      </c>
      <c r="Z23" s="17">
        <f>IF(AD23=0,J23,0)</f>
        <v>0</v>
      </c>
      <c r="AA23" s="17">
        <f>IF(AD23=15,J23,0)</f>
        <v>0</v>
      </c>
      <c r="AB23" s="17">
        <f>IF(AD23=21,J23,0)</f>
        <v>0</v>
      </c>
      <c r="AD23" s="35">
        <v>21</v>
      </c>
      <c r="AE23" s="35">
        <f>G23*0.168968105065666</f>
        <v>0</v>
      </c>
      <c r="AF23" s="35">
        <f>G23*(1-0.168968105065666)</f>
        <v>0</v>
      </c>
    </row>
    <row r="24" spans="1:37" ht="12.75">
      <c r="A24" s="5"/>
      <c r="B24" s="13"/>
      <c r="C24" s="13" t="s">
        <v>60</v>
      </c>
      <c r="D24" s="104" t="s">
        <v>122</v>
      </c>
      <c r="E24" s="105"/>
      <c r="F24" s="105"/>
      <c r="G24" s="105"/>
      <c r="H24" s="37">
        <f>SUM(H25:H25)</f>
        <v>0</v>
      </c>
      <c r="I24" s="37">
        <f>SUM(I25:I25)</f>
        <v>0</v>
      </c>
      <c r="J24" s="37">
        <f>H24+I24</f>
        <v>0</v>
      </c>
      <c r="K24" s="27"/>
      <c r="L24" s="37">
        <f>SUM(L25:L25)</f>
        <v>0.49061999999999995</v>
      </c>
      <c r="M24" s="27"/>
      <c r="P24" s="37">
        <f>IF(Q24="PR",J24,SUM(O25:O25))</f>
        <v>0</v>
      </c>
      <c r="Q24" s="27" t="s">
        <v>201</v>
      </c>
      <c r="R24" s="37">
        <f>IF(Q24="HS",H24,0)</f>
        <v>0</v>
      </c>
      <c r="S24" s="37">
        <f>IF(Q24="HS",I24-P24,0)</f>
        <v>0</v>
      </c>
      <c r="T24" s="37">
        <f>IF(Q24="PS",H24,0)</f>
        <v>0</v>
      </c>
      <c r="U24" s="37">
        <f>IF(Q24="PS",I24-P24,0)</f>
        <v>0</v>
      </c>
      <c r="V24" s="37">
        <f>IF(Q24="MP",H24,0)</f>
        <v>0</v>
      </c>
      <c r="W24" s="37">
        <f>IF(Q24="MP",I24-P24,0)</f>
        <v>0</v>
      </c>
      <c r="X24" s="37">
        <f>IF(Q24="OM",H24,0)</f>
        <v>0</v>
      </c>
      <c r="Y24" s="27"/>
      <c r="AI24" s="37">
        <f>SUM(Z25:Z25)</f>
        <v>0</v>
      </c>
      <c r="AJ24" s="37">
        <f>SUM(AA25:AA25)</f>
        <v>0</v>
      </c>
      <c r="AK24" s="37">
        <f>SUM(AB25:AB25)</f>
        <v>0</v>
      </c>
    </row>
    <row r="25" spans="1:32" ht="12.75">
      <c r="A25" s="4" t="s">
        <v>15</v>
      </c>
      <c r="B25" s="4"/>
      <c r="C25" s="4" t="s">
        <v>61</v>
      </c>
      <c r="D25" s="4" t="s">
        <v>123</v>
      </c>
      <c r="E25" s="4" t="s">
        <v>176</v>
      </c>
      <c r="F25" s="17">
        <v>3</v>
      </c>
      <c r="H25" s="17">
        <f>ROUND(F25*AE25,2)</f>
        <v>0</v>
      </c>
      <c r="I25" s="17">
        <f>J25-H25</f>
        <v>0</v>
      </c>
      <c r="J25" s="17">
        <f>ROUND(F25*G25,2)</f>
        <v>0</v>
      </c>
      <c r="K25" s="17">
        <v>0.16354</v>
      </c>
      <c r="L25" s="17">
        <f>F25*K25</f>
        <v>0.49061999999999995</v>
      </c>
      <c r="M25" s="30" t="s">
        <v>197</v>
      </c>
      <c r="N25" s="30" t="s">
        <v>9</v>
      </c>
      <c r="O25" s="17">
        <f>IF(N25="5",I25,0)</f>
        <v>0</v>
      </c>
      <c r="Z25" s="17">
        <f>IF(AD25=0,J25,0)</f>
        <v>0</v>
      </c>
      <c r="AA25" s="17">
        <f>IF(AD25=15,J25,0)</f>
        <v>0</v>
      </c>
      <c r="AB25" s="17">
        <f>IF(AD25=21,J25,0)</f>
        <v>0</v>
      </c>
      <c r="AD25" s="35">
        <v>21</v>
      </c>
      <c r="AE25" s="35">
        <f>G25*0.626581340247889</f>
        <v>0</v>
      </c>
      <c r="AF25" s="35">
        <f>G25*(1-0.626581340247889)</f>
        <v>0</v>
      </c>
    </row>
    <row r="26" spans="1:37" ht="12.75">
      <c r="A26" s="5"/>
      <c r="B26" s="13"/>
      <c r="C26" s="13" t="s">
        <v>62</v>
      </c>
      <c r="D26" s="104" t="s">
        <v>124</v>
      </c>
      <c r="E26" s="105"/>
      <c r="F26" s="105"/>
      <c r="G26" s="105"/>
      <c r="H26" s="37">
        <f>SUM(H27:H28)</f>
        <v>0</v>
      </c>
      <c r="I26" s="37">
        <f>SUM(I27:I28)</f>
        <v>0</v>
      </c>
      <c r="J26" s="37">
        <f>H26+I26</f>
        <v>0</v>
      </c>
      <c r="K26" s="27"/>
      <c r="L26" s="37">
        <f>SUM(L27:L28)</f>
        <v>0.0071604</v>
      </c>
      <c r="M26" s="27"/>
      <c r="P26" s="37">
        <f>IF(Q26="PR",J26,SUM(O27:O28))</f>
        <v>0</v>
      </c>
      <c r="Q26" s="27" t="s">
        <v>202</v>
      </c>
      <c r="R26" s="37">
        <f>IF(Q26="HS",H26,0)</f>
        <v>0</v>
      </c>
      <c r="S26" s="37">
        <f>IF(Q26="HS",I26-P26,0)</f>
        <v>0</v>
      </c>
      <c r="T26" s="37">
        <f>IF(Q26="PS",H26,0)</f>
        <v>0</v>
      </c>
      <c r="U26" s="37">
        <f>IF(Q26="PS",I26-P26,0)</f>
        <v>0</v>
      </c>
      <c r="V26" s="37">
        <f>IF(Q26="MP",H26,0)</f>
        <v>0</v>
      </c>
      <c r="W26" s="37">
        <f>IF(Q26="MP",I26-P26,0)</f>
        <v>0</v>
      </c>
      <c r="X26" s="37">
        <f>IF(Q26="OM",H26,0)</f>
        <v>0</v>
      </c>
      <c r="Y26" s="27"/>
      <c r="AI26" s="37">
        <f>SUM(Z27:Z28)</f>
        <v>0</v>
      </c>
      <c r="AJ26" s="37">
        <f>SUM(AA27:AA28)</f>
        <v>0</v>
      </c>
      <c r="AK26" s="37">
        <f>SUM(AB27:AB28)</f>
        <v>0</v>
      </c>
    </row>
    <row r="27" spans="1:32" ht="12.75">
      <c r="A27" s="4" t="s">
        <v>16</v>
      </c>
      <c r="B27" s="4"/>
      <c r="C27" s="4" t="s">
        <v>63</v>
      </c>
      <c r="D27" s="4" t="s">
        <v>125</v>
      </c>
      <c r="E27" s="4" t="s">
        <v>177</v>
      </c>
      <c r="F27" s="17">
        <v>99.91</v>
      </c>
      <c r="H27" s="17">
        <f>ROUND(F27*AE27,2)</f>
        <v>0</v>
      </c>
      <c r="I27" s="17">
        <f>J27-H27</f>
        <v>0</v>
      </c>
      <c r="J27" s="17">
        <f>ROUND(F27*G27,2)</f>
        <v>0</v>
      </c>
      <c r="K27" s="17">
        <v>0</v>
      </c>
      <c r="L27" s="17">
        <f>F27*K27</f>
        <v>0</v>
      </c>
      <c r="M27" s="30" t="s">
        <v>197</v>
      </c>
      <c r="N27" s="30" t="s">
        <v>7</v>
      </c>
      <c r="O27" s="17">
        <f>IF(N27="5",I27,0)</f>
        <v>0</v>
      </c>
      <c r="Z27" s="17">
        <f>IF(AD27=0,J27,0)</f>
        <v>0</v>
      </c>
      <c r="AA27" s="17">
        <f>IF(AD27=15,J27,0)</f>
        <v>0</v>
      </c>
      <c r="AB27" s="17">
        <f>IF(AD27=21,J27,0)</f>
        <v>0</v>
      </c>
      <c r="AD27" s="35">
        <v>21</v>
      </c>
      <c r="AE27" s="35">
        <f>G27*0</f>
        <v>0</v>
      </c>
      <c r="AF27" s="35">
        <f>G27*(1-0)</f>
        <v>0</v>
      </c>
    </row>
    <row r="28" spans="1:32" ht="12.75">
      <c r="A28" s="4" t="s">
        <v>17</v>
      </c>
      <c r="B28" s="4"/>
      <c r="C28" s="4" t="s">
        <v>64</v>
      </c>
      <c r="D28" s="4" t="s">
        <v>126</v>
      </c>
      <c r="E28" s="4" t="s">
        <v>177</v>
      </c>
      <c r="F28" s="17">
        <v>42.12</v>
      </c>
      <c r="H28" s="17">
        <f>ROUND(F28*AE28,2)</f>
        <v>0</v>
      </c>
      <c r="I28" s="17">
        <f>J28-H28</f>
        <v>0</v>
      </c>
      <c r="J28" s="17">
        <f>ROUND(F28*G28,2)</f>
        <v>0</v>
      </c>
      <c r="K28" s="17">
        <v>0.00017</v>
      </c>
      <c r="L28" s="17">
        <f>F28*K28</f>
        <v>0.0071604</v>
      </c>
      <c r="M28" s="30" t="s">
        <v>197</v>
      </c>
      <c r="N28" s="30" t="s">
        <v>7</v>
      </c>
      <c r="O28" s="17">
        <f>IF(N28="5",I28,0)</f>
        <v>0</v>
      </c>
      <c r="Z28" s="17">
        <f>IF(AD28=0,J28,0)</f>
        <v>0</v>
      </c>
      <c r="AA28" s="17">
        <f>IF(AD28=15,J28,0)</f>
        <v>0</v>
      </c>
      <c r="AB28" s="17">
        <f>IF(AD28=21,J28,0)</f>
        <v>0</v>
      </c>
      <c r="AD28" s="35">
        <v>21</v>
      </c>
      <c r="AE28" s="35">
        <f>G28*0.175652173913043</f>
        <v>0</v>
      </c>
      <c r="AF28" s="35">
        <f>G28*(1-0.175652173913043)</f>
        <v>0</v>
      </c>
    </row>
    <row r="29" spans="1:37" ht="12.75">
      <c r="A29" s="5"/>
      <c r="B29" s="13"/>
      <c r="C29" s="13" t="s">
        <v>65</v>
      </c>
      <c r="D29" s="104" t="s">
        <v>127</v>
      </c>
      <c r="E29" s="105"/>
      <c r="F29" s="105"/>
      <c r="G29" s="105"/>
      <c r="H29" s="37">
        <f>SUM(H30:H30)</f>
        <v>0</v>
      </c>
      <c r="I29" s="37">
        <f>SUM(I30:I30)</f>
        <v>0</v>
      </c>
      <c r="J29" s="37">
        <f>H29+I29</f>
        <v>0</v>
      </c>
      <c r="K29" s="27"/>
      <c r="L29" s="37">
        <f>SUM(L30:L30)</f>
        <v>0.00336</v>
      </c>
      <c r="M29" s="27"/>
      <c r="P29" s="37">
        <f>IF(Q29="PR",J29,SUM(O30:O30))</f>
        <v>0</v>
      </c>
      <c r="Q29" s="27" t="s">
        <v>202</v>
      </c>
      <c r="R29" s="37">
        <f>IF(Q29="HS",H29,0)</f>
        <v>0</v>
      </c>
      <c r="S29" s="37">
        <f>IF(Q29="HS",I29-P29,0)</f>
        <v>0</v>
      </c>
      <c r="T29" s="37">
        <f>IF(Q29="PS",H29,0)</f>
        <v>0</v>
      </c>
      <c r="U29" s="37">
        <f>IF(Q29="PS",I29-P29,0)</f>
        <v>0</v>
      </c>
      <c r="V29" s="37">
        <f>IF(Q29="MP",H29,0)</f>
        <v>0</v>
      </c>
      <c r="W29" s="37">
        <f>IF(Q29="MP",I29-P29,0)</f>
        <v>0</v>
      </c>
      <c r="X29" s="37">
        <f>IF(Q29="OM",H29,0)</f>
        <v>0</v>
      </c>
      <c r="Y29" s="27"/>
      <c r="AI29" s="37">
        <f>SUM(Z30:Z30)</f>
        <v>0</v>
      </c>
      <c r="AJ29" s="37">
        <f>SUM(AA30:AA30)</f>
        <v>0</v>
      </c>
      <c r="AK29" s="37">
        <f>SUM(AB30:AB30)</f>
        <v>0</v>
      </c>
    </row>
    <row r="30" spans="1:32" ht="12.75">
      <c r="A30" s="4" t="s">
        <v>18</v>
      </c>
      <c r="B30" s="4"/>
      <c r="C30" s="4" t="s">
        <v>66</v>
      </c>
      <c r="D30" s="4" t="s">
        <v>128</v>
      </c>
      <c r="E30" s="4" t="s">
        <v>176</v>
      </c>
      <c r="F30" s="17">
        <v>2</v>
      </c>
      <c r="H30" s="17">
        <f>ROUND(F30*AE30,2)</f>
        <v>0</v>
      </c>
      <c r="I30" s="17">
        <f>J30-H30</f>
        <v>0</v>
      </c>
      <c r="J30" s="17">
        <f>ROUND(F30*G30,2)</f>
        <v>0</v>
      </c>
      <c r="K30" s="17">
        <v>0.00168</v>
      </c>
      <c r="L30" s="17">
        <f>F30*K30</f>
        <v>0.00336</v>
      </c>
      <c r="M30" s="30" t="s">
        <v>197</v>
      </c>
      <c r="N30" s="30" t="s">
        <v>7</v>
      </c>
      <c r="O30" s="17">
        <f>IF(N30="5",I30,0)</f>
        <v>0</v>
      </c>
      <c r="Z30" s="17">
        <f>IF(AD30=0,J30,0)</f>
        <v>0</v>
      </c>
      <c r="AA30" s="17">
        <f>IF(AD30=15,J30,0)</f>
        <v>0</v>
      </c>
      <c r="AB30" s="17">
        <f>IF(AD30=21,J30,0)</f>
        <v>0</v>
      </c>
      <c r="AD30" s="35">
        <v>21</v>
      </c>
      <c r="AE30" s="35">
        <f>G30*0.170886742756804</f>
        <v>0</v>
      </c>
      <c r="AF30" s="35">
        <f>G30*(1-0.170886742756804)</f>
        <v>0</v>
      </c>
    </row>
    <row r="31" spans="1:37" ht="12.75">
      <c r="A31" s="5"/>
      <c r="B31" s="13"/>
      <c r="C31" s="13" t="s">
        <v>67</v>
      </c>
      <c r="D31" s="104" t="s">
        <v>129</v>
      </c>
      <c r="E31" s="105"/>
      <c r="F31" s="105"/>
      <c r="G31" s="105"/>
      <c r="H31" s="37">
        <f>SUM(H32:H32)</f>
        <v>0</v>
      </c>
      <c r="I31" s="37">
        <f>SUM(I32:I32)</f>
        <v>0</v>
      </c>
      <c r="J31" s="37">
        <f>H31+I31</f>
        <v>0</v>
      </c>
      <c r="K31" s="27"/>
      <c r="L31" s="37">
        <f>SUM(L32:L32)</f>
        <v>0.07695</v>
      </c>
      <c r="M31" s="27"/>
      <c r="P31" s="37">
        <f>IF(Q31="PR",J31,SUM(O32:O32))</f>
        <v>0</v>
      </c>
      <c r="Q31" s="27" t="s">
        <v>202</v>
      </c>
      <c r="R31" s="37">
        <f>IF(Q31="HS",H31,0)</f>
        <v>0</v>
      </c>
      <c r="S31" s="37">
        <f>IF(Q31="HS",I31-P31,0)</f>
        <v>0</v>
      </c>
      <c r="T31" s="37">
        <f>IF(Q31="PS",H31,0)</f>
        <v>0</v>
      </c>
      <c r="U31" s="37">
        <f>IF(Q31="PS",I31-P31,0)</f>
        <v>0</v>
      </c>
      <c r="V31" s="37">
        <f>IF(Q31="MP",H31,0)</f>
        <v>0</v>
      </c>
      <c r="W31" s="37">
        <f>IF(Q31="MP",I31-P31,0)</f>
        <v>0</v>
      </c>
      <c r="X31" s="37">
        <f>IF(Q31="OM",H31,0)</f>
        <v>0</v>
      </c>
      <c r="Y31" s="27"/>
      <c r="AI31" s="37">
        <f>SUM(Z32:Z32)</f>
        <v>0</v>
      </c>
      <c r="AJ31" s="37">
        <f>SUM(AA32:AA32)</f>
        <v>0</v>
      </c>
      <c r="AK31" s="37">
        <f>SUM(AB32:AB32)</f>
        <v>0</v>
      </c>
    </row>
    <row r="32" spans="1:32" ht="12.75">
      <c r="A32" s="4" t="s">
        <v>19</v>
      </c>
      <c r="B32" s="4"/>
      <c r="C32" s="4" t="s">
        <v>68</v>
      </c>
      <c r="D32" s="4" t="s">
        <v>130</v>
      </c>
      <c r="E32" s="4" t="s">
        <v>177</v>
      </c>
      <c r="F32" s="17">
        <v>15.39</v>
      </c>
      <c r="H32" s="17">
        <f>ROUND(F32*AE32,2)</f>
        <v>0</v>
      </c>
      <c r="I32" s="17">
        <f>J32-H32</f>
        <v>0</v>
      </c>
      <c r="J32" s="17">
        <f>ROUND(F32*G32,2)</f>
        <v>0</v>
      </c>
      <c r="K32" s="17">
        <v>0.005</v>
      </c>
      <c r="L32" s="17">
        <f>F32*K32</f>
        <v>0.07695</v>
      </c>
      <c r="M32" s="30" t="s">
        <v>197</v>
      </c>
      <c r="N32" s="30" t="s">
        <v>7</v>
      </c>
      <c r="O32" s="17">
        <f>IF(N32="5",I32,0)</f>
        <v>0</v>
      </c>
      <c r="Z32" s="17">
        <f>IF(AD32=0,J32,0)</f>
        <v>0</v>
      </c>
      <c r="AA32" s="17">
        <f>IF(AD32=15,J32,0)</f>
        <v>0</v>
      </c>
      <c r="AB32" s="17">
        <f>IF(AD32=21,J32,0)</f>
        <v>0</v>
      </c>
      <c r="AD32" s="35">
        <v>21</v>
      </c>
      <c r="AE32" s="35">
        <f>G32*0</f>
        <v>0</v>
      </c>
      <c r="AF32" s="35">
        <f>G32*(1-0)</f>
        <v>0</v>
      </c>
    </row>
    <row r="33" spans="1:37" ht="12.75">
      <c r="A33" s="5"/>
      <c r="B33" s="13"/>
      <c r="C33" s="13" t="s">
        <v>69</v>
      </c>
      <c r="D33" s="104" t="s">
        <v>131</v>
      </c>
      <c r="E33" s="105"/>
      <c r="F33" s="105"/>
      <c r="G33" s="105"/>
      <c r="H33" s="37">
        <f>SUM(H34:H36)</f>
        <v>0</v>
      </c>
      <c r="I33" s="37">
        <f>SUM(I34:I36)</f>
        <v>0</v>
      </c>
      <c r="J33" s="37">
        <f>H33+I33</f>
        <v>0</v>
      </c>
      <c r="K33" s="27"/>
      <c r="L33" s="37">
        <f>SUM(L34:L36)</f>
        <v>0.9150963999999999</v>
      </c>
      <c r="M33" s="27"/>
      <c r="P33" s="37">
        <f>IF(Q33="PR",J33,SUM(O34:O36))</f>
        <v>0</v>
      </c>
      <c r="Q33" s="27" t="s">
        <v>202</v>
      </c>
      <c r="R33" s="37">
        <f>IF(Q33="HS",H33,0)</f>
        <v>0</v>
      </c>
      <c r="S33" s="37">
        <f>IF(Q33="HS",I33-P33,0)</f>
        <v>0</v>
      </c>
      <c r="T33" s="37">
        <f>IF(Q33="PS",H33,0)</f>
        <v>0</v>
      </c>
      <c r="U33" s="37">
        <f>IF(Q33="PS",I33-P33,0)</f>
        <v>0</v>
      </c>
      <c r="V33" s="37">
        <f>IF(Q33="MP",H33,0)</f>
        <v>0</v>
      </c>
      <c r="W33" s="37">
        <f>IF(Q33="MP",I33-P33,0)</f>
        <v>0</v>
      </c>
      <c r="X33" s="37">
        <f>IF(Q33="OM",H33,0)</f>
        <v>0</v>
      </c>
      <c r="Y33" s="27"/>
      <c r="AI33" s="37">
        <f>SUM(Z34:Z36)</f>
        <v>0</v>
      </c>
      <c r="AJ33" s="37">
        <f>SUM(AA34:AA36)</f>
        <v>0</v>
      </c>
      <c r="AK33" s="37">
        <f>SUM(AB34:AB36)</f>
        <v>0</v>
      </c>
    </row>
    <row r="34" spans="1:32" ht="12.75">
      <c r="A34" s="4" t="s">
        <v>20</v>
      </c>
      <c r="B34" s="4"/>
      <c r="C34" s="4" t="s">
        <v>70</v>
      </c>
      <c r="D34" s="4" t="s">
        <v>132</v>
      </c>
      <c r="E34" s="4" t="s">
        <v>177</v>
      </c>
      <c r="F34" s="17">
        <v>113.32</v>
      </c>
      <c r="H34" s="17">
        <f>ROUND(F34*AE34,2)</f>
        <v>0</v>
      </c>
      <c r="I34" s="17">
        <f>J34-H34</f>
        <v>0</v>
      </c>
      <c r="J34" s="17">
        <f>ROUND(F34*G34,2)</f>
        <v>0</v>
      </c>
      <c r="K34" s="17">
        <v>0.00514</v>
      </c>
      <c r="L34" s="17">
        <f>F34*K34</f>
        <v>0.5824647999999999</v>
      </c>
      <c r="M34" s="30" t="s">
        <v>197</v>
      </c>
      <c r="N34" s="30" t="s">
        <v>9</v>
      </c>
      <c r="O34" s="17">
        <f>IF(N34="5",I34,0)</f>
        <v>0</v>
      </c>
      <c r="Z34" s="17">
        <f>IF(AD34=0,J34,0)</f>
        <v>0</v>
      </c>
      <c r="AA34" s="17">
        <f>IF(AD34=15,J34,0)</f>
        <v>0</v>
      </c>
      <c r="AB34" s="17">
        <f>IF(AD34=21,J34,0)</f>
        <v>0</v>
      </c>
      <c r="AD34" s="35">
        <v>21</v>
      </c>
      <c r="AE34" s="35">
        <f>G34*0.468604214703201</f>
        <v>0</v>
      </c>
      <c r="AF34" s="35">
        <f>G34*(1-0.468604214703201)</f>
        <v>0</v>
      </c>
    </row>
    <row r="35" spans="1:32" ht="12.75">
      <c r="A35" s="4" t="s">
        <v>21</v>
      </c>
      <c r="B35" s="4"/>
      <c r="C35" s="4" t="s">
        <v>71</v>
      </c>
      <c r="D35" s="4" t="s">
        <v>133</v>
      </c>
      <c r="E35" s="4" t="s">
        <v>177</v>
      </c>
      <c r="F35" s="17">
        <v>113.32</v>
      </c>
      <c r="H35" s="17">
        <f>ROUND(F35*AE35,2)</f>
        <v>0</v>
      </c>
      <c r="I35" s="17">
        <f>J35-H35</f>
        <v>0</v>
      </c>
      <c r="J35" s="17">
        <f>ROUND(F35*G35,2)</f>
        <v>0</v>
      </c>
      <c r="K35" s="17">
        <v>0.00223</v>
      </c>
      <c r="L35" s="17">
        <f>F35*K35</f>
        <v>0.25270360000000003</v>
      </c>
      <c r="M35" s="30" t="s">
        <v>197</v>
      </c>
      <c r="N35" s="30" t="s">
        <v>7</v>
      </c>
      <c r="O35" s="17">
        <f>IF(N35="5",I35,0)</f>
        <v>0</v>
      </c>
      <c r="Z35" s="17">
        <f>IF(AD35=0,J35,0)</f>
        <v>0</v>
      </c>
      <c r="AA35" s="17">
        <f>IF(AD35=15,J35,0)</f>
        <v>0</v>
      </c>
      <c r="AB35" s="17">
        <f>IF(AD35=21,J35,0)</f>
        <v>0</v>
      </c>
      <c r="AD35" s="35">
        <v>21</v>
      </c>
      <c r="AE35" s="35">
        <f>G35*0.174844247172384</f>
        <v>0</v>
      </c>
      <c r="AF35" s="35">
        <f>G35*(1-0.174844247172384)</f>
        <v>0</v>
      </c>
    </row>
    <row r="36" spans="1:32" ht="12.75">
      <c r="A36" s="4" t="s">
        <v>22</v>
      </c>
      <c r="B36" s="4"/>
      <c r="C36" s="4" t="s">
        <v>72</v>
      </c>
      <c r="D36" s="4" t="s">
        <v>134</v>
      </c>
      <c r="E36" s="4" t="s">
        <v>177</v>
      </c>
      <c r="F36" s="17">
        <v>99.91</v>
      </c>
      <c r="H36" s="17">
        <f>ROUND(F36*AE36,2)</f>
        <v>0</v>
      </c>
      <c r="I36" s="17">
        <f>J36-H36</f>
        <v>0</v>
      </c>
      <c r="J36" s="17">
        <f>ROUND(F36*G36,2)</f>
        <v>0</v>
      </c>
      <c r="K36" s="17">
        <v>0.0008</v>
      </c>
      <c r="L36" s="17">
        <f>F36*K36</f>
        <v>0.079928</v>
      </c>
      <c r="M36" s="30" t="s">
        <v>197</v>
      </c>
      <c r="N36" s="30" t="s">
        <v>7</v>
      </c>
      <c r="O36" s="17">
        <f>IF(N36="5",I36,0)</f>
        <v>0</v>
      </c>
      <c r="Z36" s="17">
        <f>IF(AD36=0,J36,0)</f>
        <v>0</v>
      </c>
      <c r="AA36" s="17">
        <f>IF(AD36=15,J36,0)</f>
        <v>0</v>
      </c>
      <c r="AB36" s="17">
        <f>IF(AD36=21,J36,0)</f>
        <v>0</v>
      </c>
      <c r="AD36" s="35">
        <v>21</v>
      </c>
      <c r="AE36" s="35">
        <f>G36*1</f>
        <v>0</v>
      </c>
      <c r="AF36" s="35">
        <f>G36*(1-1)</f>
        <v>0</v>
      </c>
    </row>
    <row r="37" spans="1:37" ht="12.75">
      <c r="A37" s="5"/>
      <c r="B37" s="13"/>
      <c r="C37" s="13" t="s">
        <v>73</v>
      </c>
      <c r="D37" s="104" t="s">
        <v>135</v>
      </c>
      <c r="E37" s="105"/>
      <c r="F37" s="105"/>
      <c r="G37" s="105"/>
      <c r="H37" s="37">
        <f>SUM(H38:H39)</f>
        <v>0</v>
      </c>
      <c r="I37" s="37">
        <f>SUM(I38:I39)</f>
        <v>0</v>
      </c>
      <c r="J37" s="37">
        <f>H37+I37</f>
        <v>0</v>
      </c>
      <c r="K37" s="27"/>
      <c r="L37" s="37">
        <f>SUM(L38:L39)</f>
        <v>0.138838</v>
      </c>
      <c r="M37" s="27"/>
      <c r="P37" s="37">
        <f>IF(Q37="PR",J37,SUM(O38:O39))</f>
        <v>0</v>
      </c>
      <c r="Q37" s="27" t="s">
        <v>202</v>
      </c>
      <c r="R37" s="37">
        <f>IF(Q37="HS",H37,0)</f>
        <v>0</v>
      </c>
      <c r="S37" s="37">
        <f>IF(Q37="HS",I37-P37,0)</f>
        <v>0</v>
      </c>
      <c r="T37" s="37">
        <f>IF(Q37="PS",H37,0)</f>
        <v>0</v>
      </c>
      <c r="U37" s="37">
        <f>IF(Q37="PS",I37-P37,0)</f>
        <v>0</v>
      </c>
      <c r="V37" s="37">
        <f>IF(Q37="MP",H37,0)</f>
        <v>0</v>
      </c>
      <c r="W37" s="37">
        <f>IF(Q37="MP",I37-P37,0)</f>
        <v>0</v>
      </c>
      <c r="X37" s="37">
        <f>IF(Q37="OM",H37,0)</f>
        <v>0</v>
      </c>
      <c r="Y37" s="27"/>
      <c r="AI37" s="37">
        <f>SUM(Z38:Z39)</f>
        <v>0</v>
      </c>
      <c r="AJ37" s="37">
        <f>SUM(AA38:AA39)</f>
        <v>0</v>
      </c>
      <c r="AK37" s="37">
        <f>SUM(AB38:AB39)</f>
        <v>0</v>
      </c>
    </row>
    <row r="38" spans="1:32" ht="12.75">
      <c r="A38" s="4" t="s">
        <v>23</v>
      </c>
      <c r="B38" s="4"/>
      <c r="C38" s="4" t="s">
        <v>74</v>
      </c>
      <c r="D38" s="4" t="s">
        <v>136</v>
      </c>
      <c r="E38" s="4" t="s">
        <v>177</v>
      </c>
      <c r="F38" s="17">
        <v>31.94</v>
      </c>
      <c r="H38" s="17">
        <f>ROUND(F38*AE38,2)</f>
        <v>0</v>
      </c>
      <c r="I38" s="17">
        <f>J38-H38</f>
        <v>0</v>
      </c>
      <c r="J38" s="17">
        <f>ROUND(F38*G38,2)</f>
        <v>0</v>
      </c>
      <c r="K38" s="17">
        <v>0</v>
      </c>
      <c r="L38" s="17">
        <f>F38*K38</f>
        <v>0</v>
      </c>
      <c r="M38" s="30" t="s">
        <v>197</v>
      </c>
      <c r="N38" s="30" t="s">
        <v>7</v>
      </c>
      <c r="O38" s="17">
        <f>IF(N38="5",I38,0)</f>
        <v>0</v>
      </c>
      <c r="Z38" s="17">
        <f>IF(AD38=0,J38,0)</f>
        <v>0</v>
      </c>
      <c r="AA38" s="17">
        <f>IF(AD38=15,J38,0)</f>
        <v>0</v>
      </c>
      <c r="AB38" s="17">
        <f>IF(AD38=21,J38,0)</f>
        <v>0</v>
      </c>
      <c r="AD38" s="35">
        <v>21</v>
      </c>
      <c r="AE38" s="35">
        <f>G38*0.657894736842105</f>
        <v>0</v>
      </c>
      <c r="AF38" s="35">
        <f>G38*(1-0.657894736842105)</f>
        <v>0</v>
      </c>
    </row>
    <row r="39" spans="1:32" ht="12.75">
      <c r="A39" s="4" t="s">
        <v>24</v>
      </c>
      <c r="B39" s="4"/>
      <c r="C39" s="4" t="s">
        <v>75</v>
      </c>
      <c r="D39" s="4" t="s">
        <v>137</v>
      </c>
      <c r="E39" s="4" t="s">
        <v>177</v>
      </c>
      <c r="F39" s="17">
        <v>32.9</v>
      </c>
      <c r="H39" s="17">
        <f>ROUND(F39*AE39,2)</f>
        <v>0</v>
      </c>
      <c r="I39" s="17">
        <f>J39-H39</f>
        <v>0</v>
      </c>
      <c r="J39" s="17">
        <f>ROUND(F39*G39,2)</f>
        <v>0</v>
      </c>
      <c r="K39" s="17">
        <v>0.00422</v>
      </c>
      <c r="L39" s="17">
        <f>F39*K39</f>
        <v>0.138838</v>
      </c>
      <c r="M39" s="30" t="s">
        <v>197</v>
      </c>
      <c r="N39" s="30" t="s">
        <v>9</v>
      </c>
      <c r="O39" s="17">
        <f>IF(N39="5",I39,0)</f>
        <v>0</v>
      </c>
      <c r="Z39" s="17">
        <f>IF(AD39=0,J39,0)</f>
        <v>0</v>
      </c>
      <c r="AA39" s="17">
        <f>IF(AD39=15,J39,0)</f>
        <v>0</v>
      </c>
      <c r="AB39" s="17">
        <f>IF(AD39=21,J39,0)</f>
        <v>0</v>
      </c>
      <c r="AD39" s="35">
        <v>21</v>
      </c>
      <c r="AE39" s="35">
        <f>G39*0.726822390025789</f>
        <v>0</v>
      </c>
      <c r="AF39" s="35">
        <f>G39*(1-0.726822390025789)</f>
        <v>0</v>
      </c>
    </row>
    <row r="40" spans="1:37" ht="12.75">
      <c r="A40" s="5"/>
      <c r="B40" s="13"/>
      <c r="C40" s="13" t="s">
        <v>76</v>
      </c>
      <c r="D40" s="104" t="s">
        <v>138</v>
      </c>
      <c r="E40" s="105"/>
      <c r="F40" s="105"/>
      <c r="G40" s="105"/>
      <c r="H40" s="37">
        <f>SUM(H41:H42)</f>
        <v>0</v>
      </c>
      <c r="I40" s="37">
        <f>SUM(I41:I42)</f>
        <v>0</v>
      </c>
      <c r="J40" s="37">
        <f>H40+I40</f>
        <v>0</v>
      </c>
      <c r="K40" s="27"/>
      <c r="L40" s="37">
        <f>SUM(L41:L42)</f>
        <v>11.8578892</v>
      </c>
      <c r="M40" s="27"/>
      <c r="P40" s="37">
        <f>IF(Q40="PR",J40,SUM(O41:O42))</f>
        <v>0</v>
      </c>
      <c r="Q40" s="27" t="s">
        <v>202</v>
      </c>
      <c r="R40" s="37">
        <f>IF(Q40="HS",H40,0)</f>
        <v>0</v>
      </c>
      <c r="S40" s="37">
        <f>IF(Q40="HS",I40-P40,0)</f>
        <v>0</v>
      </c>
      <c r="T40" s="37">
        <f>IF(Q40="PS",H40,0)</f>
        <v>0</v>
      </c>
      <c r="U40" s="37">
        <f>IF(Q40="PS",I40-P40,0)</f>
        <v>0</v>
      </c>
      <c r="V40" s="37">
        <f>IF(Q40="MP",H40,0)</f>
        <v>0</v>
      </c>
      <c r="W40" s="37">
        <f>IF(Q40="MP",I40-P40,0)</f>
        <v>0</v>
      </c>
      <c r="X40" s="37">
        <f>IF(Q40="OM",H40,0)</f>
        <v>0</v>
      </c>
      <c r="Y40" s="27"/>
      <c r="AI40" s="37">
        <f>SUM(Z41:Z42)</f>
        <v>0</v>
      </c>
      <c r="AJ40" s="37">
        <f>SUM(AA41:AA42)</f>
        <v>0</v>
      </c>
      <c r="AK40" s="37">
        <f>SUM(AB41:AB42)</f>
        <v>0</v>
      </c>
    </row>
    <row r="41" spans="1:32" ht="12.75">
      <c r="A41" s="4" t="s">
        <v>25</v>
      </c>
      <c r="B41" s="4"/>
      <c r="C41" s="4" t="s">
        <v>77</v>
      </c>
      <c r="D41" s="4" t="s">
        <v>139</v>
      </c>
      <c r="E41" s="4" t="s">
        <v>177</v>
      </c>
      <c r="F41" s="17">
        <v>169.67</v>
      </c>
      <c r="H41" s="17">
        <f>ROUND(F41*AE41,2)</f>
        <v>0</v>
      </c>
      <c r="I41" s="17">
        <f>J41-H41</f>
        <v>0</v>
      </c>
      <c r="J41" s="17">
        <f>ROUND(F41*G41,2)</f>
        <v>0</v>
      </c>
      <c r="K41" s="17">
        <v>0</v>
      </c>
      <c r="L41" s="17">
        <f>F41*K41</f>
        <v>0</v>
      </c>
      <c r="M41" s="30" t="s">
        <v>197</v>
      </c>
      <c r="N41" s="30" t="s">
        <v>7</v>
      </c>
      <c r="O41" s="17">
        <f>IF(N41="5",I41,0)</f>
        <v>0</v>
      </c>
      <c r="Z41" s="17">
        <f>IF(AD41=0,J41,0)</f>
        <v>0</v>
      </c>
      <c r="AA41" s="17">
        <f>IF(AD41=15,J41,0)</f>
        <v>0</v>
      </c>
      <c r="AB41" s="17">
        <f>IF(AD41=21,J41,0)</f>
        <v>0</v>
      </c>
      <c r="AD41" s="35">
        <v>21</v>
      </c>
      <c r="AE41" s="35">
        <f>G41*0</f>
        <v>0</v>
      </c>
      <c r="AF41" s="35">
        <f>G41*(1-0)</f>
        <v>0</v>
      </c>
    </row>
    <row r="42" spans="1:32" ht="12.75">
      <c r="A42" s="4" t="s">
        <v>26</v>
      </c>
      <c r="B42" s="4"/>
      <c r="C42" s="4" t="s">
        <v>78</v>
      </c>
      <c r="D42" s="4" t="s">
        <v>140</v>
      </c>
      <c r="E42" s="4" t="s">
        <v>177</v>
      </c>
      <c r="F42" s="17">
        <v>166.52</v>
      </c>
      <c r="H42" s="17">
        <f>ROUND(F42*AE42,2)</f>
        <v>0</v>
      </c>
      <c r="I42" s="17">
        <f>J42-H42</f>
        <v>0</v>
      </c>
      <c r="J42" s="17">
        <f>ROUND(F42*G42,2)</f>
        <v>0</v>
      </c>
      <c r="K42" s="17">
        <v>0.07121</v>
      </c>
      <c r="L42" s="17">
        <f>F42*K42</f>
        <v>11.8578892</v>
      </c>
      <c r="M42" s="30" t="s">
        <v>197</v>
      </c>
      <c r="N42" s="30" t="s">
        <v>9</v>
      </c>
      <c r="O42" s="17">
        <f>IF(N42="5",I42,0)</f>
        <v>0</v>
      </c>
      <c r="Z42" s="17">
        <f>IF(AD42=0,J42,0)</f>
        <v>0</v>
      </c>
      <c r="AA42" s="17">
        <f>IF(AD42=15,J42,0)</f>
        <v>0</v>
      </c>
      <c r="AB42" s="17">
        <f>IF(AD42=21,J42,0)</f>
        <v>0</v>
      </c>
      <c r="AD42" s="35">
        <v>21</v>
      </c>
      <c r="AE42" s="35">
        <f>G42*0.488533797577227</f>
        <v>0</v>
      </c>
      <c r="AF42" s="35">
        <f>G42*(1-0.488533797577227)</f>
        <v>0</v>
      </c>
    </row>
    <row r="43" spans="1:37" ht="12.75">
      <c r="A43" s="5"/>
      <c r="B43" s="13"/>
      <c r="C43" s="13" t="s">
        <v>79</v>
      </c>
      <c r="D43" s="104" t="s">
        <v>141</v>
      </c>
      <c r="E43" s="105"/>
      <c r="F43" s="105"/>
      <c r="G43" s="105"/>
      <c r="H43" s="37">
        <f>SUM(H44:H44)</f>
        <v>0</v>
      </c>
      <c r="I43" s="37">
        <f>SUM(I44:I44)</f>
        <v>0</v>
      </c>
      <c r="J43" s="37">
        <f>H43+I43</f>
        <v>0</v>
      </c>
      <c r="K43" s="27"/>
      <c r="L43" s="37">
        <f>SUM(L44:L44)</f>
        <v>0</v>
      </c>
      <c r="M43" s="27"/>
      <c r="P43" s="37">
        <f>IF(Q43="PR",J43,SUM(O44:O44))</f>
        <v>0</v>
      </c>
      <c r="Q43" s="27" t="s">
        <v>202</v>
      </c>
      <c r="R43" s="37">
        <f>IF(Q43="HS",H43,0)</f>
        <v>0</v>
      </c>
      <c r="S43" s="37">
        <f>IF(Q43="HS",I43-P43,0)</f>
        <v>0</v>
      </c>
      <c r="T43" s="37">
        <f>IF(Q43="PS",H43,0)</f>
        <v>0</v>
      </c>
      <c r="U43" s="37">
        <f>IF(Q43="PS",I43-P43,0)</f>
        <v>0</v>
      </c>
      <c r="V43" s="37">
        <f>IF(Q43="MP",H43,0)</f>
        <v>0</v>
      </c>
      <c r="W43" s="37">
        <f>IF(Q43="MP",I43-P43,0)</f>
        <v>0</v>
      </c>
      <c r="X43" s="37">
        <f>IF(Q43="OM",H43,0)</f>
        <v>0</v>
      </c>
      <c r="Y43" s="27"/>
      <c r="AI43" s="37">
        <f>SUM(Z44:Z44)</f>
        <v>0</v>
      </c>
      <c r="AJ43" s="37">
        <f>SUM(AA44:AA44)</f>
        <v>0</v>
      </c>
      <c r="AK43" s="37">
        <f>SUM(AB44:AB44)</f>
        <v>0</v>
      </c>
    </row>
    <row r="44" spans="1:32" ht="12.75">
      <c r="A44" s="4" t="s">
        <v>27</v>
      </c>
      <c r="B44" s="4"/>
      <c r="C44" s="4" t="s">
        <v>80</v>
      </c>
      <c r="D44" s="4" t="s">
        <v>142</v>
      </c>
      <c r="E44" s="4" t="s">
        <v>177</v>
      </c>
      <c r="F44" s="17">
        <v>148.48</v>
      </c>
      <c r="H44" s="17">
        <f>ROUND(F44*AE44,2)</f>
        <v>0</v>
      </c>
      <c r="I44" s="17">
        <f>J44-H44</f>
        <v>0</v>
      </c>
      <c r="J44" s="17">
        <f>ROUND(F44*G44,2)</f>
        <v>0</v>
      </c>
      <c r="K44" s="17">
        <v>0</v>
      </c>
      <c r="L44" s="17">
        <f>F44*K44</f>
        <v>0</v>
      </c>
      <c r="M44" s="30"/>
      <c r="N44" s="30" t="s">
        <v>7</v>
      </c>
      <c r="O44" s="17">
        <f>IF(N44="5",I44,0)</f>
        <v>0</v>
      </c>
      <c r="Z44" s="17">
        <f>IF(AD44=0,J44,0)</f>
        <v>0</v>
      </c>
      <c r="AA44" s="17">
        <f>IF(AD44=15,J44,0)</f>
        <v>0</v>
      </c>
      <c r="AB44" s="17">
        <f>IF(AD44=21,J44,0)</f>
        <v>0</v>
      </c>
      <c r="AD44" s="35">
        <v>21</v>
      </c>
      <c r="AE44" s="35">
        <f>G44*0</f>
        <v>0</v>
      </c>
      <c r="AF44" s="35">
        <f>G44*(1-0)</f>
        <v>0</v>
      </c>
    </row>
    <row r="45" spans="1:37" ht="12.75">
      <c r="A45" s="5"/>
      <c r="B45" s="13"/>
      <c r="C45" s="13" t="s">
        <v>81</v>
      </c>
      <c r="D45" s="104" t="s">
        <v>143</v>
      </c>
      <c r="E45" s="105"/>
      <c r="F45" s="105"/>
      <c r="G45" s="105"/>
      <c r="H45" s="37">
        <f>SUM(H46:H47)</f>
        <v>0</v>
      </c>
      <c r="I45" s="37">
        <f>SUM(I46:I47)</f>
        <v>0</v>
      </c>
      <c r="J45" s="37">
        <f>H45+I45</f>
        <v>0</v>
      </c>
      <c r="K45" s="27"/>
      <c r="L45" s="37">
        <f>SUM(L46:L47)</f>
        <v>0.0217959</v>
      </c>
      <c r="M45" s="27"/>
      <c r="P45" s="37">
        <f>IF(Q45="PR",J45,SUM(O46:O47))</f>
        <v>0</v>
      </c>
      <c r="Q45" s="27" t="s">
        <v>202</v>
      </c>
      <c r="R45" s="37">
        <f>IF(Q45="HS",H45,0)</f>
        <v>0</v>
      </c>
      <c r="S45" s="37">
        <f>IF(Q45="HS",I45-P45,0)</f>
        <v>0</v>
      </c>
      <c r="T45" s="37">
        <f>IF(Q45="PS",H45,0)</f>
        <v>0</v>
      </c>
      <c r="U45" s="37">
        <f>IF(Q45="PS",I45-P45,0)</f>
        <v>0</v>
      </c>
      <c r="V45" s="37">
        <f>IF(Q45="MP",H45,0)</f>
        <v>0</v>
      </c>
      <c r="W45" s="37">
        <f>IF(Q45="MP",I45-P45,0)</f>
        <v>0</v>
      </c>
      <c r="X45" s="37">
        <f>IF(Q45="OM",H45,0)</f>
        <v>0</v>
      </c>
      <c r="Y45" s="27"/>
      <c r="AI45" s="37">
        <f>SUM(Z46:Z47)</f>
        <v>0</v>
      </c>
      <c r="AJ45" s="37">
        <f>SUM(AA46:AA47)</f>
        <v>0</v>
      </c>
      <c r="AK45" s="37">
        <f>SUM(AB46:AB47)</f>
        <v>0</v>
      </c>
    </row>
    <row r="46" spans="1:32" ht="12.75">
      <c r="A46" s="4" t="s">
        <v>28</v>
      </c>
      <c r="B46" s="4"/>
      <c r="C46" s="4" t="s">
        <v>82</v>
      </c>
      <c r="D46" s="4" t="s">
        <v>144</v>
      </c>
      <c r="E46" s="4" t="s">
        <v>177</v>
      </c>
      <c r="F46" s="17">
        <v>62.02</v>
      </c>
      <c r="H46" s="17">
        <f>ROUND(F46*AE46,2)</f>
        <v>0</v>
      </c>
      <c r="I46" s="17">
        <f>J46-H46</f>
        <v>0</v>
      </c>
      <c r="J46" s="17">
        <f>ROUND(F46*G46,2)</f>
        <v>0</v>
      </c>
      <c r="K46" s="17">
        <v>0.00027</v>
      </c>
      <c r="L46" s="17">
        <f>F46*K46</f>
        <v>0.0167454</v>
      </c>
      <c r="M46" s="30" t="s">
        <v>197</v>
      </c>
      <c r="N46" s="30" t="s">
        <v>7</v>
      </c>
      <c r="O46" s="17">
        <f>IF(N46="5",I46,0)</f>
        <v>0</v>
      </c>
      <c r="Z46" s="17">
        <f>IF(AD46=0,J46,0)</f>
        <v>0</v>
      </c>
      <c r="AA46" s="17">
        <f>IF(AD46=15,J46,0)</f>
        <v>0</v>
      </c>
      <c r="AB46" s="17">
        <f>IF(AD46=21,J46,0)</f>
        <v>0</v>
      </c>
      <c r="AD46" s="35">
        <v>21</v>
      </c>
      <c r="AE46" s="35">
        <f>G46*0.0891364902506964</f>
        <v>0</v>
      </c>
      <c r="AF46" s="35">
        <f>G46*(1-0.0891364902506964)</f>
        <v>0</v>
      </c>
    </row>
    <row r="47" spans="1:32" ht="12.75">
      <c r="A47" s="4" t="s">
        <v>29</v>
      </c>
      <c r="B47" s="4"/>
      <c r="C47" s="4" t="s">
        <v>83</v>
      </c>
      <c r="D47" s="4" t="s">
        <v>145</v>
      </c>
      <c r="E47" s="4" t="s">
        <v>177</v>
      </c>
      <c r="F47" s="17">
        <v>14.43</v>
      </c>
      <c r="H47" s="17">
        <f>ROUND(F47*AE47,2)</f>
        <v>0</v>
      </c>
      <c r="I47" s="17">
        <f>J47-H47</f>
        <v>0</v>
      </c>
      <c r="J47" s="17">
        <f>ROUND(F47*G47,2)</f>
        <v>0</v>
      </c>
      <c r="K47" s="17">
        <v>0.00035</v>
      </c>
      <c r="L47" s="17">
        <f>F47*K47</f>
        <v>0.0050504999999999994</v>
      </c>
      <c r="M47" s="30" t="s">
        <v>197</v>
      </c>
      <c r="N47" s="30" t="s">
        <v>9</v>
      </c>
      <c r="O47" s="17">
        <f>IF(N47="5",I47,0)</f>
        <v>0</v>
      </c>
      <c r="Z47" s="17">
        <f>IF(AD47=0,J47,0)</f>
        <v>0</v>
      </c>
      <c r="AA47" s="17">
        <f>IF(AD47=15,J47,0)</f>
        <v>0</v>
      </c>
      <c r="AB47" s="17">
        <f>IF(AD47=21,J47,0)</f>
        <v>0</v>
      </c>
      <c r="AD47" s="35">
        <v>21</v>
      </c>
      <c r="AE47" s="35">
        <f>G47*0.279500891265597</f>
        <v>0</v>
      </c>
      <c r="AF47" s="35">
        <f>G47*(1-0.279500891265597)</f>
        <v>0</v>
      </c>
    </row>
    <row r="48" spans="1:37" ht="12.75">
      <c r="A48" s="5"/>
      <c r="B48" s="13"/>
      <c r="C48" s="13" t="s">
        <v>84</v>
      </c>
      <c r="D48" s="104" t="s">
        <v>146</v>
      </c>
      <c r="E48" s="105"/>
      <c r="F48" s="105"/>
      <c r="G48" s="105"/>
      <c r="H48" s="37">
        <f>SUM(H49:H49)</f>
        <v>0</v>
      </c>
      <c r="I48" s="37">
        <f>SUM(I49:I49)</f>
        <v>0</v>
      </c>
      <c r="J48" s="37">
        <f>H48+I48</f>
        <v>0</v>
      </c>
      <c r="K48" s="27"/>
      <c r="L48" s="37">
        <f>SUM(L49:L49)</f>
        <v>0.0058104</v>
      </c>
      <c r="M48" s="27"/>
      <c r="P48" s="37">
        <f>IF(Q48="PR",J48,SUM(O49:O49))</f>
        <v>0</v>
      </c>
      <c r="Q48" s="27" t="s">
        <v>201</v>
      </c>
      <c r="R48" s="37">
        <f>IF(Q48="HS",H48,0)</f>
        <v>0</v>
      </c>
      <c r="S48" s="37">
        <f>IF(Q48="HS",I48-P48,0)</f>
        <v>0</v>
      </c>
      <c r="T48" s="37">
        <f>IF(Q48="PS",H48,0)</f>
        <v>0</v>
      </c>
      <c r="U48" s="37">
        <f>IF(Q48="PS",I48-P48,0)</f>
        <v>0</v>
      </c>
      <c r="V48" s="37">
        <f>IF(Q48="MP",H48,0)</f>
        <v>0</v>
      </c>
      <c r="W48" s="37">
        <f>IF(Q48="MP",I48-P48,0)</f>
        <v>0</v>
      </c>
      <c r="X48" s="37">
        <f>IF(Q48="OM",H48,0)</f>
        <v>0</v>
      </c>
      <c r="Y48" s="27"/>
      <c r="AI48" s="37">
        <f>SUM(Z49:Z49)</f>
        <v>0</v>
      </c>
      <c r="AJ48" s="37">
        <f>SUM(AA49:AA49)</f>
        <v>0</v>
      </c>
      <c r="AK48" s="37">
        <f>SUM(AB49:AB49)</f>
        <v>0</v>
      </c>
    </row>
    <row r="49" spans="1:32" ht="12.75">
      <c r="A49" s="4" t="s">
        <v>30</v>
      </c>
      <c r="B49" s="4"/>
      <c r="C49" s="4" t="s">
        <v>85</v>
      </c>
      <c r="D49" s="4" t="s">
        <v>147</v>
      </c>
      <c r="E49" s="4" t="s">
        <v>177</v>
      </c>
      <c r="F49" s="17">
        <v>145.26</v>
      </c>
      <c r="H49" s="17">
        <f>ROUND(F49*AE49,2)</f>
        <v>0</v>
      </c>
      <c r="I49" s="17">
        <f>J49-H49</f>
        <v>0</v>
      </c>
      <c r="J49" s="17">
        <f>ROUND(F49*G49,2)</f>
        <v>0</v>
      </c>
      <c r="K49" s="17">
        <v>4E-05</v>
      </c>
      <c r="L49" s="17">
        <f>F49*K49</f>
        <v>0.0058104</v>
      </c>
      <c r="M49" s="30" t="s">
        <v>197</v>
      </c>
      <c r="N49" s="30" t="s">
        <v>7</v>
      </c>
      <c r="O49" s="17">
        <f>IF(N49="5",I49,0)</f>
        <v>0</v>
      </c>
      <c r="Z49" s="17">
        <f>IF(AD49=0,J49,0)</f>
        <v>0</v>
      </c>
      <c r="AA49" s="17">
        <f>IF(AD49=15,J49,0)</f>
        <v>0</v>
      </c>
      <c r="AB49" s="17">
        <f>IF(AD49=21,J49,0)</f>
        <v>0</v>
      </c>
      <c r="AD49" s="35">
        <v>21</v>
      </c>
      <c r="AE49" s="35">
        <f>G49*0.0177989130434783</f>
        <v>0</v>
      </c>
      <c r="AF49" s="35">
        <f>G49*(1-0.0177989130434783)</f>
        <v>0</v>
      </c>
    </row>
    <row r="50" spans="1:37" ht="12.75">
      <c r="A50" s="5"/>
      <c r="B50" s="13"/>
      <c r="C50" s="13" t="s">
        <v>86</v>
      </c>
      <c r="D50" s="104" t="s">
        <v>148</v>
      </c>
      <c r="E50" s="105"/>
      <c r="F50" s="105"/>
      <c r="G50" s="105"/>
      <c r="H50" s="37">
        <f>SUM(H51:H55)</f>
        <v>0</v>
      </c>
      <c r="I50" s="37">
        <f>SUM(I51:I55)</f>
        <v>0</v>
      </c>
      <c r="J50" s="37">
        <f>H50+I50</f>
        <v>0</v>
      </c>
      <c r="K50" s="27"/>
      <c r="L50" s="37">
        <f>SUM(L51:L55)</f>
        <v>11.80445</v>
      </c>
      <c r="M50" s="27"/>
      <c r="P50" s="37">
        <f>IF(Q50="PR",J50,SUM(O51:O55))</f>
        <v>0</v>
      </c>
      <c r="Q50" s="27" t="s">
        <v>201</v>
      </c>
      <c r="R50" s="37">
        <f>IF(Q50="HS",H50,0)</f>
        <v>0</v>
      </c>
      <c r="S50" s="37">
        <f>IF(Q50="HS",I50-P50,0)</f>
        <v>0</v>
      </c>
      <c r="T50" s="37">
        <f>IF(Q50="PS",H50,0)</f>
        <v>0</v>
      </c>
      <c r="U50" s="37">
        <f>IF(Q50="PS",I50-P50,0)</f>
        <v>0</v>
      </c>
      <c r="V50" s="37">
        <f>IF(Q50="MP",H50,0)</f>
        <v>0</v>
      </c>
      <c r="W50" s="37">
        <f>IF(Q50="MP",I50-P50,0)</f>
        <v>0</v>
      </c>
      <c r="X50" s="37">
        <f>IF(Q50="OM",H50,0)</f>
        <v>0</v>
      </c>
      <c r="Y50" s="27"/>
      <c r="AI50" s="37">
        <f>SUM(Z51:Z55)</f>
        <v>0</v>
      </c>
      <c r="AJ50" s="37">
        <f>SUM(AA51:AA55)</f>
        <v>0</v>
      </c>
      <c r="AK50" s="37">
        <f>SUM(AB51:AB55)</f>
        <v>0</v>
      </c>
    </row>
    <row r="51" spans="1:32" ht="12.75">
      <c r="A51" s="4" t="s">
        <v>31</v>
      </c>
      <c r="B51" s="4"/>
      <c r="C51" s="4" t="s">
        <v>87</v>
      </c>
      <c r="D51" s="4" t="s">
        <v>149</v>
      </c>
      <c r="E51" s="4" t="s">
        <v>177</v>
      </c>
      <c r="F51" s="17">
        <v>8.25</v>
      </c>
      <c r="H51" s="17">
        <f>ROUND(F51*AE51,2)</f>
        <v>0</v>
      </c>
      <c r="I51" s="17">
        <f>J51-H51</f>
        <v>0</v>
      </c>
      <c r="J51" s="17">
        <f>ROUND(F51*G51,2)</f>
        <v>0</v>
      </c>
      <c r="K51" s="17">
        <v>0.261</v>
      </c>
      <c r="L51" s="17">
        <f>F51*K51</f>
        <v>2.15325</v>
      </c>
      <c r="M51" s="30" t="s">
        <v>197</v>
      </c>
      <c r="N51" s="30" t="s">
        <v>7</v>
      </c>
      <c r="O51" s="17">
        <f>IF(N51="5",I51,0)</f>
        <v>0</v>
      </c>
      <c r="Z51" s="17">
        <f>IF(AD51=0,J51,0)</f>
        <v>0</v>
      </c>
      <c r="AA51" s="17">
        <f>IF(AD51=15,J51,0)</f>
        <v>0</v>
      </c>
      <c r="AB51" s="17">
        <f>IF(AD51=21,J51,0)</f>
        <v>0</v>
      </c>
      <c r="AD51" s="35">
        <v>21</v>
      </c>
      <c r="AE51" s="35">
        <f>G51*0.157611940298507</f>
        <v>0</v>
      </c>
      <c r="AF51" s="35">
        <f>G51*(1-0.157611940298507)</f>
        <v>0</v>
      </c>
    </row>
    <row r="52" spans="1:32" ht="12.75">
      <c r="A52" s="4" t="s">
        <v>32</v>
      </c>
      <c r="B52" s="4"/>
      <c r="C52" s="4" t="s">
        <v>88</v>
      </c>
      <c r="D52" s="4" t="s">
        <v>150</v>
      </c>
      <c r="E52" s="4" t="s">
        <v>177</v>
      </c>
      <c r="F52" s="17">
        <v>148.48</v>
      </c>
      <c r="H52" s="17">
        <f>ROUND(F52*AE52,2)</f>
        <v>0</v>
      </c>
      <c r="I52" s="17">
        <f>J52-H52</f>
        <v>0</v>
      </c>
      <c r="J52" s="17">
        <f>ROUND(F52*G52,2)</f>
        <v>0</v>
      </c>
      <c r="K52" s="17">
        <v>0.065</v>
      </c>
      <c r="L52" s="17">
        <f>F52*K52</f>
        <v>9.6512</v>
      </c>
      <c r="M52" s="30" t="s">
        <v>197</v>
      </c>
      <c r="N52" s="30" t="s">
        <v>7</v>
      </c>
      <c r="O52" s="17">
        <f>IF(N52="5",I52,0)</f>
        <v>0</v>
      </c>
      <c r="Z52" s="17">
        <f>IF(AD52=0,J52,0)</f>
        <v>0</v>
      </c>
      <c r="AA52" s="17">
        <f>IF(AD52=15,J52,0)</f>
        <v>0</v>
      </c>
      <c r="AB52" s="17">
        <f>IF(AD52=21,J52,0)</f>
        <v>0</v>
      </c>
      <c r="AD52" s="35">
        <v>21</v>
      </c>
      <c r="AE52" s="35">
        <f>G52*0</f>
        <v>0</v>
      </c>
      <c r="AF52" s="35">
        <f>G52*(1-0)</f>
        <v>0</v>
      </c>
    </row>
    <row r="53" spans="1:32" ht="12.75">
      <c r="A53" s="4" t="s">
        <v>33</v>
      </c>
      <c r="B53" s="4"/>
      <c r="C53" s="4" t="s">
        <v>89</v>
      </c>
      <c r="D53" s="4" t="s">
        <v>151</v>
      </c>
      <c r="E53" s="4" t="s">
        <v>176</v>
      </c>
      <c r="F53" s="17">
        <v>3</v>
      </c>
      <c r="H53" s="17">
        <f>ROUND(F53*AE53,2)</f>
        <v>0</v>
      </c>
      <c r="I53" s="17">
        <f>J53-H53</f>
        <v>0</v>
      </c>
      <c r="J53" s="17">
        <f>ROUND(F53*G53,2)</f>
        <v>0</v>
      </c>
      <c r="K53" s="17">
        <v>0</v>
      </c>
      <c r="L53" s="17">
        <f>F53*K53</f>
        <v>0</v>
      </c>
      <c r="M53" s="30" t="s">
        <v>197</v>
      </c>
      <c r="N53" s="30" t="s">
        <v>7</v>
      </c>
      <c r="O53" s="17">
        <f>IF(N53="5",I53,0)</f>
        <v>0</v>
      </c>
      <c r="Z53" s="17">
        <f>IF(AD53=0,J53,0)</f>
        <v>0</v>
      </c>
      <c r="AA53" s="17">
        <f>IF(AD53=15,J53,0)</f>
        <v>0</v>
      </c>
      <c r="AB53" s="17">
        <f>IF(AD53=21,J53,0)</f>
        <v>0</v>
      </c>
      <c r="AD53" s="35">
        <v>21</v>
      </c>
      <c r="AE53" s="35">
        <f>G53*0</f>
        <v>0</v>
      </c>
      <c r="AF53" s="35">
        <f>G53*(1-0)</f>
        <v>0</v>
      </c>
    </row>
    <row r="54" spans="1:32" ht="12.75">
      <c r="A54" s="4" t="s">
        <v>34</v>
      </c>
      <c r="B54" s="4"/>
      <c r="C54" s="4" t="s">
        <v>90</v>
      </c>
      <c r="D54" s="4" t="s">
        <v>152</v>
      </c>
      <c r="E54" s="4" t="s">
        <v>176</v>
      </c>
      <c r="F54" s="17">
        <v>1.77</v>
      </c>
      <c r="H54" s="17">
        <f>ROUND(F54*AE54,2)</f>
        <v>0</v>
      </c>
      <c r="I54" s="17">
        <f>J54-H54</f>
        <v>0</v>
      </c>
      <c r="J54" s="17">
        <f>ROUND(F54*G54,2)</f>
        <v>0</v>
      </c>
      <c r="K54" s="17">
        <v>0</v>
      </c>
      <c r="L54" s="17">
        <f>F54*K54</f>
        <v>0</v>
      </c>
      <c r="M54" s="30" t="s">
        <v>197</v>
      </c>
      <c r="N54" s="30" t="s">
        <v>7</v>
      </c>
      <c r="O54" s="17">
        <f>IF(N54="5",I54,0)</f>
        <v>0</v>
      </c>
      <c r="Z54" s="17">
        <f>IF(AD54=0,J54,0)</f>
        <v>0</v>
      </c>
      <c r="AA54" s="17">
        <f>IF(AD54=15,J54,0)</f>
        <v>0</v>
      </c>
      <c r="AB54" s="17">
        <f>IF(AD54=21,J54,0)</f>
        <v>0</v>
      </c>
      <c r="AD54" s="35">
        <v>21</v>
      </c>
      <c r="AE54" s="35">
        <f>G54*0</f>
        <v>0</v>
      </c>
      <c r="AF54" s="35">
        <f>G54*(1-0)</f>
        <v>0</v>
      </c>
    </row>
    <row r="55" spans="1:32" ht="12.75">
      <c r="A55" s="4" t="s">
        <v>35</v>
      </c>
      <c r="B55" s="4"/>
      <c r="C55" s="4" t="s">
        <v>91</v>
      </c>
      <c r="D55" s="4" t="s">
        <v>153</v>
      </c>
      <c r="E55" s="4" t="s">
        <v>176</v>
      </c>
      <c r="F55" s="17">
        <v>2.96</v>
      </c>
      <c r="H55" s="17">
        <f>ROUND(F55*AE55,2)</f>
        <v>0</v>
      </c>
      <c r="I55" s="17">
        <f>J55-H55</f>
        <v>0</v>
      </c>
      <c r="J55" s="17">
        <f>ROUND(F55*G55,2)</f>
        <v>0</v>
      </c>
      <c r="K55" s="17">
        <v>0</v>
      </c>
      <c r="L55" s="17">
        <f>F55*K55</f>
        <v>0</v>
      </c>
      <c r="M55" s="30" t="s">
        <v>197</v>
      </c>
      <c r="N55" s="30" t="s">
        <v>7</v>
      </c>
      <c r="O55" s="17">
        <f>IF(N55="5",I55,0)</f>
        <v>0</v>
      </c>
      <c r="Z55" s="17">
        <f>IF(AD55=0,J55,0)</f>
        <v>0</v>
      </c>
      <c r="AA55" s="17">
        <f>IF(AD55=15,J55,0)</f>
        <v>0</v>
      </c>
      <c r="AB55" s="17">
        <f>IF(AD55=21,J55,0)</f>
        <v>0</v>
      </c>
      <c r="AD55" s="35">
        <v>21</v>
      </c>
      <c r="AE55" s="35">
        <f>G55*0</f>
        <v>0</v>
      </c>
      <c r="AF55" s="35">
        <f>G55*(1-0)</f>
        <v>0</v>
      </c>
    </row>
    <row r="56" spans="1:37" ht="12.75">
      <c r="A56" s="5"/>
      <c r="B56" s="13"/>
      <c r="C56" s="13" t="s">
        <v>92</v>
      </c>
      <c r="D56" s="104" t="s">
        <v>154</v>
      </c>
      <c r="E56" s="105"/>
      <c r="F56" s="105"/>
      <c r="G56" s="105"/>
      <c r="H56" s="37">
        <f>SUM(H57:H57)</f>
        <v>0</v>
      </c>
      <c r="I56" s="37">
        <f>SUM(I57:I57)</f>
        <v>0</v>
      </c>
      <c r="J56" s="37">
        <f>H56+I56</f>
        <v>0</v>
      </c>
      <c r="K56" s="27"/>
      <c r="L56" s="37">
        <f>SUM(L57:L57)</f>
        <v>10.69164</v>
      </c>
      <c r="M56" s="27"/>
      <c r="P56" s="37">
        <f>IF(Q56="PR",J56,SUM(O57:O57))</f>
        <v>0</v>
      </c>
      <c r="Q56" s="27" t="s">
        <v>201</v>
      </c>
      <c r="R56" s="37">
        <f>IF(Q56="HS",H56,0)</f>
        <v>0</v>
      </c>
      <c r="S56" s="37">
        <f>IF(Q56="HS",I56-P56,0)</f>
        <v>0</v>
      </c>
      <c r="T56" s="37">
        <f>IF(Q56="PS",H56,0)</f>
        <v>0</v>
      </c>
      <c r="U56" s="37">
        <f>IF(Q56="PS",I56-P56,0)</f>
        <v>0</v>
      </c>
      <c r="V56" s="37">
        <f>IF(Q56="MP",H56,0)</f>
        <v>0</v>
      </c>
      <c r="W56" s="37">
        <f>IF(Q56="MP",I56-P56,0)</f>
        <v>0</v>
      </c>
      <c r="X56" s="37">
        <f>IF(Q56="OM",H56,0)</f>
        <v>0</v>
      </c>
      <c r="Y56" s="27"/>
      <c r="AI56" s="37">
        <f>SUM(Z57:Z57)</f>
        <v>0</v>
      </c>
      <c r="AJ56" s="37">
        <f>SUM(AA57:AA57)</f>
        <v>0</v>
      </c>
      <c r="AK56" s="37">
        <f>SUM(AB57:AB57)</f>
        <v>0</v>
      </c>
    </row>
    <row r="57" spans="1:32" ht="12.75">
      <c r="A57" s="4" t="s">
        <v>36</v>
      </c>
      <c r="B57" s="4"/>
      <c r="C57" s="4" t="s">
        <v>93</v>
      </c>
      <c r="D57" s="4" t="s">
        <v>155</v>
      </c>
      <c r="E57" s="4" t="s">
        <v>177</v>
      </c>
      <c r="F57" s="17">
        <v>157.23</v>
      </c>
      <c r="H57" s="17">
        <f>ROUND(F57*AE57,2)</f>
        <v>0</v>
      </c>
      <c r="I57" s="17">
        <f>J57-H57</f>
        <v>0</v>
      </c>
      <c r="J57" s="17">
        <f>ROUND(F57*G57,2)</f>
        <v>0</v>
      </c>
      <c r="K57" s="17">
        <v>0.068</v>
      </c>
      <c r="L57" s="17">
        <f>F57*K57</f>
        <v>10.69164</v>
      </c>
      <c r="M57" s="30" t="s">
        <v>197</v>
      </c>
      <c r="N57" s="30" t="s">
        <v>7</v>
      </c>
      <c r="O57" s="17">
        <f>IF(N57="5",I57,0)</f>
        <v>0</v>
      </c>
      <c r="Z57" s="17">
        <f>IF(AD57=0,J57,0)</f>
        <v>0</v>
      </c>
      <c r="AA57" s="17">
        <f>IF(AD57=15,J57,0)</f>
        <v>0</v>
      </c>
      <c r="AB57" s="17">
        <f>IF(AD57=21,J57,0)</f>
        <v>0</v>
      </c>
      <c r="AD57" s="35">
        <v>21</v>
      </c>
      <c r="AE57" s="35">
        <f>G57*0</f>
        <v>0</v>
      </c>
      <c r="AF57" s="35">
        <f>G57*(1-0)</f>
        <v>0</v>
      </c>
    </row>
    <row r="58" spans="1:37" ht="12.75">
      <c r="A58" s="5"/>
      <c r="B58" s="13"/>
      <c r="C58" s="13" t="s">
        <v>94</v>
      </c>
      <c r="D58" s="104" t="s">
        <v>156</v>
      </c>
      <c r="E58" s="105"/>
      <c r="F58" s="105"/>
      <c r="G58" s="105"/>
      <c r="H58" s="37">
        <f>SUM(H59:H59)</f>
        <v>0</v>
      </c>
      <c r="I58" s="37">
        <f>SUM(I59:I59)</f>
        <v>0</v>
      </c>
      <c r="J58" s="37">
        <f>H58+I58</f>
        <v>0</v>
      </c>
      <c r="K58" s="27"/>
      <c r="L58" s="37">
        <f>SUM(L59:L59)</f>
        <v>0</v>
      </c>
      <c r="M58" s="27"/>
      <c r="P58" s="37">
        <f>IF(Q58="PR",J58,SUM(O59:O59))</f>
        <v>0</v>
      </c>
      <c r="Q58" s="27" t="s">
        <v>203</v>
      </c>
      <c r="R58" s="37">
        <f>IF(Q58="HS",H58,0)</f>
        <v>0</v>
      </c>
      <c r="S58" s="37">
        <f>IF(Q58="HS",I58-P58,0)</f>
        <v>0</v>
      </c>
      <c r="T58" s="37">
        <f>IF(Q58="PS",H58,0)</f>
        <v>0</v>
      </c>
      <c r="U58" s="37">
        <f>IF(Q58="PS",I58-P58,0)</f>
        <v>0</v>
      </c>
      <c r="V58" s="37">
        <f>IF(Q58="MP",H58,0)</f>
        <v>0</v>
      </c>
      <c r="W58" s="37">
        <f>IF(Q58="MP",I58-P58,0)</f>
        <v>0</v>
      </c>
      <c r="X58" s="37">
        <f>IF(Q58="OM",H58,0)</f>
        <v>0</v>
      </c>
      <c r="Y58" s="27"/>
      <c r="AI58" s="37">
        <f>SUM(Z59:Z59)</f>
        <v>0</v>
      </c>
      <c r="AJ58" s="37">
        <f>SUM(AA59:AA59)</f>
        <v>0</v>
      </c>
      <c r="AK58" s="37">
        <f>SUM(AB59:AB59)</f>
        <v>0</v>
      </c>
    </row>
    <row r="59" spans="1:32" ht="12.75">
      <c r="A59" s="4" t="s">
        <v>37</v>
      </c>
      <c r="B59" s="4"/>
      <c r="C59" s="4" t="s">
        <v>95</v>
      </c>
      <c r="D59" s="4" t="s">
        <v>157</v>
      </c>
      <c r="E59" s="4" t="s">
        <v>175</v>
      </c>
      <c r="F59" s="17">
        <v>27.11298</v>
      </c>
      <c r="H59" s="17">
        <f>ROUND(F59*AE59,2)</f>
        <v>0</v>
      </c>
      <c r="I59" s="17">
        <f>J59-H59</f>
        <v>0</v>
      </c>
      <c r="J59" s="17">
        <f>ROUND(F59*G59,2)</f>
        <v>0</v>
      </c>
      <c r="K59" s="17">
        <v>0</v>
      </c>
      <c r="L59" s="17">
        <f>F59*K59</f>
        <v>0</v>
      </c>
      <c r="M59" s="30" t="s">
        <v>197</v>
      </c>
      <c r="N59" s="30" t="s">
        <v>11</v>
      </c>
      <c r="O59" s="17">
        <f>IF(N59="5",I59,0)</f>
        <v>0</v>
      </c>
      <c r="Z59" s="17">
        <f>IF(AD59=0,J59,0)</f>
        <v>0</v>
      </c>
      <c r="AA59" s="17">
        <f>IF(AD59=15,J59,0)</f>
        <v>0</v>
      </c>
      <c r="AB59" s="17">
        <f>IF(AD59=21,J59,0)</f>
        <v>0</v>
      </c>
      <c r="AD59" s="35">
        <v>21</v>
      </c>
      <c r="AE59" s="35">
        <f>G59*0</f>
        <v>0</v>
      </c>
      <c r="AF59" s="35">
        <f>G59*(1-0)</f>
        <v>0</v>
      </c>
    </row>
    <row r="60" spans="1:37" ht="12.75">
      <c r="A60" s="5"/>
      <c r="B60" s="13"/>
      <c r="C60" s="13" t="s">
        <v>96</v>
      </c>
      <c r="D60" s="104" t="s">
        <v>158</v>
      </c>
      <c r="E60" s="105"/>
      <c r="F60" s="105"/>
      <c r="G60" s="105"/>
      <c r="H60" s="37">
        <f>SUM(H61:H65)</f>
        <v>0</v>
      </c>
      <c r="I60" s="37">
        <f>SUM(I61:I65)</f>
        <v>0</v>
      </c>
      <c r="J60" s="37">
        <f>H60+I60</f>
        <v>0</v>
      </c>
      <c r="K60" s="27"/>
      <c r="L60" s="37">
        <f>SUM(L61:L65)</f>
        <v>0</v>
      </c>
      <c r="M60" s="27"/>
      <c r="P60" s="37">
        <f>IF(Q60="PR",J60,SUM(O61:O65))</f>
        <v>0</v>
      </c>
      <c r="Q60" s="27" t="s">
        <v>203</v>
      </c>
      <c r="R60" s="37">
        <f>IF(Q60="HS",H60,0)</f>
        <v>0</v>
      </c>
      <c r="S60" s="37">
        <f>IF(Q60="HS",I60-P60,0)</f>
        <v>0</v>
      </c>
      <c r="T60" s="37">
        <f>IF(Q60="PS",H60,0)</f>
        <v>0</v>
      </c>
      <c r="U60" s="37">
        <f>IF(Q60="PS",I60-P60,0)</f>
        <v>0</v>
      </c>
      <c r="V60" s="37">
        <f>IF(Q60="MP",H60,0)</f>
        <v>0</v>
      </c>
      <c r="W60" s="37">
        <f>IF(Q60="MP",I60-P60,0)</f>
        <v>0</v>
      </c>
      <c r="X60" s="37">
        <f>IF(Q60="OM",H60,0)</f>
        <v>0</v>
      </c>
      <c r="Y60" s="27"/>
      <c r="AI60" s="37">
        <f>SUM(Z61:Z65)</f>
        <v>0</v>
      </c>
      <c r="AJ60" s="37">
        <f>SUM(AA61:AA65)</f>
        <v>0</v>
      </c>
      <c r="AK60" s="37">
        <f>SUM(AB61:AB65)</f>
        <v>0</v>
      </c>
    </row>
    <row r="61" spans="1:32" ht="12.75">
      <c r="A61" s="4" t="s">
        <v>38</v>
      </c>
      <c r="B61" s="4"/>
      <c r="C61" s="4" t="s">
        <v>97</v>
      </c>
      <c r="D61" s="4" t="s">
        <v>159</v>
      </c>
      <c r="E61" s="4" t="s">
        <v>175</v>
      </c>
      <c r="F61" s="17">
        <v>22.57304</v>
      </c>
      <c r="H61" s="17">
        <f>ROUND(F61*AE61,2)</f>
        <v>0</v>
      </c>
      <c r="I61" s="17">
        <f>J61-H61</f>
        <v>0</v>
      </c>
      <c r="J61" s="17">
        <f>ROUND(F61*G61,2)</f>
        <v>0</v>
      </c>
      <c r="K61" s="17">
        <v>0</v>
      </c>
      <c r="L61" s="17">
        <f>F61*K61</f>
        <v>0</v>
      </c>
      <c r="M61" s="30" t="s">
        <v>197</v>
      </c>
      <c r="N61" s="30" t="s">
        <v>11</v>
      </c>
      <c r="O61" s="17">
        <f>IF(N61="5",I61,0)</f>
        <v>0</v>
      </c>
      <c r="Z61" s="17">
        <f>IF(AD61=0,J61,0)</f>
        <v>0</v>
      </c>
      <c r="AA61" s="17">
        <f>IF(AD61=15,J61,0)</f>
        <v>0</v>
      </c>
      <c r="AB61" s="17">
        <f>IF(AD61=21,J61,0)</f>
        <v>0</v>
      </c>
      <c r="AD61" s="35">
        <v>21</v>
      </c>
      <c r="AE61" s="35">
        <f>G61*0</f>
        <v>0</v>
      </c>
      <c r="AF61" s="35">
        <f>G61*(1-0)</f>
        <v>0</v>
      </c>
    </row>
    <row r="62" spans="1:32" ht="12.75">
      <c r="A62" s="4" t="s">
        <v>39</v>
      </c>
      <c r="B62" s="4"/>
      <c r="C62" s="4" t="s">
        <v>98</v>
      </c>
      <c r="D62" s="4" t="s">
        <v>160</v>
      </c>
      <c r="E62" s="4" t="s">
        <v>175</v>
      </c>
      <c r="F62" s="17">
        <v>22.57304</v>
      </c>
      <c r="H62" s="17">
        <f>ROUND(F62*AE62,2)</f>
        <v>0</v>
      </c>
      <c r="I62" s="17">
        <f>J62-H62</f>
        <v>0</v>
      </c>
      <c r="J62" s="17">
        <f>ROUND(F62*G62,2)</f>
        <v>0</v>
      </c>
      <c r="K62" s="17">
        <v>0</v>
      </c>
      <c r="L62" s="17">
        <f>F62*K62</f>
        <v>0</v>
      </c>
      <c r="M62" s="30" t="s">
        <v>197</v>
      </c>
      <c r="N62" s="30" t="s">
        <v>11</v>
      </c>
      <c r="O62" s="17">
        <f>IF(N62="5",I62,0)</f>
        <v>0</v>
      </c>
      <c r="Z62" s="17">
        <f>IF(AD62=0,J62,0)</f>
        <v>0</v>
      </c>
      <c r="AA62" s="17">
        <f>IF(AD62=15,J62,0)</f>
        <v>0</v>
      </c>
      <c r="AB62" s="17">
        <f>IF(AD62=21,J62,0)</f>
        <v>0</v>
      </c>
      <c r="AD62" s="35">
        <v>21</v>
      </c>
      <c r="AE62" s="35">
        <f>G62*0</f>
        <v>0</v>
      </c>
      <c r="AF62" s="35">
        <f>G62*(1-0)</f>
        <v>0</v>
      </c>
    </row>
    <row r="63" spans="1:32" ht="12.75">
      <c r="A63" s="4" t="s">
        <v>40</v>
      </c>
      <c r="B63" s="4"/>
      <c r="C63" s="4" t="s">
        <v>99</v>
      </c>
      <c r="D63" s="4" t="s">
        <v>161</v>
      </c>
      <c r="E63" s="4" t="s">
        <v>175</v>
      </c>
      <c r="F63" s="17">
        <v>22.57304</v>
      </c>
      <c r="H63" s="17">
        <f>ROUND(F63*AE63,2)</f>
        <v>0</v>
      </c>
      <c r="I63" s="17">
        <f>J63-H63</f>
        <v>0</v>
      </c>
      <c r="J63" s="17">
        <f>ROUND(F63*G63,2)</f>
        <v>0</v>
      </c>
      <c r="K63" s="17">
        <v>0</v>
      </c>
      <c r="L63" s="17">
        <f>F63*K63</f>
        <v>0</v>
      </c>
      <c r="M63" s="30" t="s">
        <v>197</v>
      </c>
      <c r="N63" s="30" t="s">
        <v>11</v>
      </c>
      <c r="O63" s="17">
        <f>IF(N63="5",I63,0)</f>
        <v>0</v>
      </c>
      <c r="Z63" s="17">
        <f>IF(AD63=0,J63,0)</f>
        <v>0</v>
      </c>
      <c r="AA63" s="17">
        <f>IF(AD63=15,J63,0)</f>
        <v>0</v>
      </c>
      <c r="AB63" s="17">
        <f>IF(AD63=21,J63,0)</f>
        <v>0</v>
      </c>
      <c r="AD63" s="35">
        <v>21</v>
      </c>
      <c r="AE63" s="35">
        <f>G63*0</f>
        <v>0</v>
      </c>
      <c r="AF63" s="35">
        <f>G63*(1-0)</f>
        <v>0</v>
      </c>
    </row>
    <row r="64" spans="1:32" ht="12.75">
      <c r="A64" s="4" t="s">
        <v>41</v>
      </c>
      <c r="B64" s="4"/>
      <c r="C64" s="4" t="s">
        <v>100</v>
      </c>
      <c r="D64" s="4" t="s">
        <v>162</v>
      </c>
      <c r="E64" s="4" t="s">
        <v>175</v>
      </c>
      <c r="F64" s="17">
        <v>316.02</v>
      </c>
      <c r="H64" s="17">
        <f>ROUND(F64*AE64,2)</f>
        <v>0</v>
      </c>
      <c r="I64" s="17">
        <f>J64-H64</f>
        <v>0</v>
      </c>
      <c r="J64" s="17">
        <f>ROUND(F64*G64,2)</f>
        <v>0</v>
      </c>
      <c r="K64" s="17">
        <v>0</v>
      </c>
      <c r="L64" s="17">
        <f>F64*K64</f>
        <v>0</v>
      </c>
      <c r="M64" s="30" t="s">
        <v>197</v>
      </c>
      <c r="N64" s="30" t="s">
        <v>11</v>
      </c>
      <c r="O64" s="17">
        <f>IF(N64="5",I64,0)</f>
        <v>0</v>
      </c>
      <c r="Z64" s="17">
        <f>IF(AD64=0,J64,0)</f>
        <v>0</v>
      </c>
      <c r="AA64" s="17">
        <f>IF(AD64=15,J64,0)</f>
        <v>0</v>
      </c>
      <c r="AB64" s="17">
        <f>IF(AD64=21,J64,0)</f>
        <v>0</v>
      </c>
      <c r="AD64" s="35">
        <v>21</v>
      </c>
      <c r="AE64" s="35">
        <f>G64*0</f>
        <v>0</v>
      </c>
      <c r="AF64" s="35">
        <f>G64*(1-0)</f>
        <v>0</v>
      </c>
    </row>
    <row r="65" spans="1:32" ht="12.75">
      <c r="A65" s="4" t="s">
        <v>42</v>
      </c>
      <c r="B65" s="4"/>
      <c r="C65" s="4" t="s">
        <v>101</v>
      </c>
      <c r="D65" s="4" t="s">
        <v>163</v>
      </c>
      <c r="E65" s="4" t="s">
        <v>175</v>
      </c>
      <c r="F65" s="17">
        <v>22.57304</v>
      </c>
      <c r="H65" s="17">
        <f>ROUND(F65*AE65,2)</f>
        <v>0</v>
      </c>
      <c r="I65" s="17">
        <f>J65-H65</f>
        <v>0</v>
      </c>
      <c r="J65" s="17">
        <f>ROUND(F65*G65,2)</f>
        <v>0</v>
      </c>
      <c r="K65" s="17">
        <v>0</v>
      </c>
      <c r="L65" s="17">
        <f>F65*K65</f>
        <v>0</v>
      </c>
      <c r="M65" s="30" t="s">
        <v>198</v>
      </c>
      <c r="N65" s="30" t="s">
        <v>11</v>
      </c>
      <c r="O65" s="17">
        <f>IF(N65="5",I65,0)</f>
        <v>0</v>
      </c>
      <c r="Z65" s="17">
        <f>IF(AD65=0,J65,0)</f>
        <v>0</v>
      </c>
      <c r="AA65" s="17">
        <f>IF(AD65=15,J65,0)</f>
        <v>0</v>
      </c>
      <c r="AB65" s="17">
        <f>IF(AD65=21,J65,0)</f>
        <v>0</v>
      </c>
      <c r="AD65" s="35">
        <v>21</v>
      </c>
      <c r="AE65" s="35">
        <f>G65*0</f>
        <v>0</v>
      </c>
      <c r="AF65" s="35">
        <f>G65*(1-0)</f>
        <v>0</v>
      </c>
    </row>
    <row r="66" spans="1:37" ht="12.75">
      <c r="A66" s="5"/>
      <c r="B66" s="13"/>
      <c r="C66" s="13"/>
      <c r="D66" s="104" t="s">
        <v>164</v>
      </c>
      <c r="E66" s="105"/>
      <c r="F66" s="105"/>
      <c r="G66" s="105"/>
      <c r="H66" s="37">
        <f>SUM(H67:H70)</f>
        <v>0</v>
      </c>
      <c r="I66" s="37">
        <f>SUM(I67:I70)</f>
        <v>0</v>
      </c>
      <c r="J66" s="37">
        <f>H66+I66</f>
        <v>0</v>
      </c>
      <c r="K66" s="27"/>
      <c r="L66" s="37">
        <f>SUM(L67:L70)</f>
        <v>2.918</v>
      </c>
      <c r="M66" s="27"/>
      <c r="P66" s="37">
        <f>IF(Q66="PR",J66,SUM(O67:O70))</f>
        <v>0</v>
      </c>
      <c r="Q66" s="27" t="s">
        <v>204</v>
      </c>
      <c r="R66" s="37">
        <f>IF(Q66="HS",H66,0)</f>
        <v>0</v>
      </c>
      <c r="S66" s="37">
        <f>IF(Q66="HS",I66-P66,0)</f>
        <v>0</v>
      </c>
      <c r="T66" s="37">
        <f>IF(Q66="PS",H66,0)</f>
        <v>0</v>
      </c>
      <c r="U66" s="37">
        <f>IF(Q66="PS",I66-P66,0)</f>
        <v>0</v>
      </c>
      <c r="V66" s="37">
        <f>IF(Q66="MP",H66,0)</f>
        <v>0</v>
      </c>
      <c r="W66" s="37">
        <f>IF(Q66="MP",I66-P66,0)</f>
        <v>0</v>
      </c>
      <c r="X66" s="37">
        <f>IF(Q66="OM",H66,0)</f>
        <v>0</v>
      </c>
      <c r="Y66" s="27"/>
      <c r="AI66" s="37">
        <f>SUM(Z67:Z70)</f>
        <v>0</v>
      </c>
      <c r="AJ66" s="37">
        <f>SUM(AA67:AA70)</f>
        <v>0</v>
      </c>
      <c r="AK66" s="37">
        <f>SUM(AB67:AB70)</f>
        <v>0</v>
      </c>
    </row>
    <row r="67" spans="1:32" ht="12.75">
      <c r="A67" s="6" t="s">
        <v>43</v>
      </c>
      <c r="B67" s="6"/>
      <c r="C67" s="6" t="s">
        <v>102</v>
      </c>
      <c r="D67" s="6" t="s">
        <v>165</v>
      </c>
      <c r="E67" s="6" t="s">
        <v>177</v>
      </c>
      <c r="F67" s="18">
        <v>163.34</v>
      </c>
      <c r="H67" s="18">
        <f>ROUND(F67*AE67,2)</f>
        <v>0</v>
      </c>
      <c r="I67" s="18">
        <f>J67-H67</f>
        <v>0</v>
      </c>
      <c r="J67" s="18">
        <f>ROUND(F67*G67,2)</f>
        <v>0</v>
      </c>
      <c r="K67" s="18">
        <v>0</v>
      </c>
      <c r="L67" s="18">
        <f>F67*K67</f>
        <v>0</v>
      </c>
      <c r="M67" s="31"/>
      <c r="N67" s="31" t="s">
        <v>50</v>
      </c>
      <c r="O67" s="18">
        <f>IF(N67="5",I67,0)</f>
        <v>0</v>
      </c>
      <c r="Z67" s="18">
        <f>IF(AD67=0,J67,0)</f>
        <v>0</v>
      </c>
      <c r="AA67" s="18">
        <f>IF(AD67=15,J67,0)</f>
        <v>0</v>
      </c>
      <c r="AB67" s="18">
        <f>IF(AD67=21,J67,0)</f>
        <v>0</v>
      </c>
      <c r="AD67" s="35">
        <v>21</v>
      </c>
      <c r="AE67" s="35">
        <f>G67*1</f>
        <v>0</v>
      </c>
      <c r="AF67" s="35">
        <f>G67*(1-1)</f>
        <v>0</v>
      </c>
    </row>
    <row r="68" spans="1:32" ht="12.75">
      <c r="A68" s="6" t="s">
        <v>44</v>
      </c>
      <c r="B68" s="6"/>
      <c r="C68" s="6" t="s">
        <v>103</v>
      </c>
      <c r="D68" s="6" t="s">
        <v>166</v>
      </c>
      <c r="E68" s="6" t="s">
        <v>177</v>
      </c>
      <c r="F68" s="18">
        <v>102.91</v>
      </c>
      <c r="H68" s="18">
        <f>ROUND(F68*AE68,2)</f>
        <v>0</v>
      </c>
      <c r="I68" s="18">
        <f>J68-H68</f>
        <v>0</v>
      </c>
      <c r="J68" s="18">
        <f>ROUND(F68*G68,2)</f>
        <v>0</v>
      </c>
      <c r="K68" s="18">
        <v>0.025</v>
      </c>
      <c r="L68" s="18">
        <f>F68*K68</f>
        <v>2.57275</v>
      </c>
      <c r="M68" s="31"/>
      <c r="N68" s="31" t="s">
        <v>50</v>
      </c>
      <c r="O68" s="18">
        <f>IF(N68="5",I68,0)</f>
        <v>0</v>
      </c>
      <c r="Z68" s="18">
        <f>IF(AD68=0,J68,0)</f>
        <v>0</v>
      </c>
      <c r="AA68" s="18">
        <f>IF(AD68=15,J68,0)</f>
        <v>0</v>
      </c>
      <c r="AB68" s="18">
        <f>IF(AD68=21,J68,0)</f>
        <v>0</v>
      </c>
      <c r="AD68" s="35">
        <v>21</v>
      </c>
      <c r="AE68" s="35">
        <f>G68*1</f>
        <v>0</v>
      </c>
      <c r="AF68" s="35">
        <f>G68*(1-1)</f>
        <v>0</v>
      </c>
    </row>
    <row r="69" spans="1:32" ht="12.75">
      <c r="A69" s="6" t="s">
        <v>45</v>
      </c>
      <c r="B69" s="6"/>
      <c r="C69" s="6" t="s">
        <v>103</v>
      </c>
      <c r="D69" s="6" t="s">
        <v>167</v>
      </c>
      <c r="E69" s="6" t="s">
        <v>177</v>
      </c>
      <c r="F69" s="18">
        <v>13.81</v>
      </c>
      <c r="H69" s="18">
        <f>ROUND(F69*AE69,2)</f>
        <v>0</v>
      </c>
      <c r="I69" s="18">
        <f>J69-H69</f>
        <v>0</v>
      </c>
      <c r="J69" s="18">
        <f>ROUND(F69*G69,2)</f>
        <v>0</v>
      </c>
      <c r="K69" s="18">
        <v>0.025</v>
      </c>
      <c r="L69" s="18">
        <f>F69*K69</f>
        <v>0.34525000000000006</v>
      </c>
      <c r="M69" s="31"/>
      <c r="N69" s="31" t="s">
        <v>50</v>
      </c>
      <c r="O69" s="18">
        <f>IF(N69="5",I69,0)</f>
        <v>0</v>
      </c>
      <c r="Z69" s="18">
        <f>IF(AD69=0,J69,0)</f>
        <v>0</v>
      </c>
      <c r="AA69" s="18">
        <f>IF(AD69=15,J69,0)</f>
        <v>0</v>
      </c>
      <c r="AB69" s="18">
        <f>IF(AD69=21,J69,0)</f>
        <v>0</v>
      </c>
      <c r="AD69" s="35">
        <v>21</v>
      </c>
      <c r="AE69" s="35">
        <f>G69*1</f>
        <v>0</v>
      </c>
      <c r="AF69" s="35">
        <f>G69*(1-1)</f>
        <v>0</v>
      </c>
    </row>
    <row r="70" spans="1:32" ht="12.75">
      <c r="A70" s="7" t="s">
        <v>46</v>
      </c>
      <c r="B70" s="7"/>
      <c r="C70" s="7" t="s">
        <v>104</v>
      </c>
      <c r="D70" s="7" t="s">
        <v>168</v>
      </c>
      <c r="E70" s="7" t="s">
        <v>177</v>
      </c>
      <c r="F70" s="19">
        <v>4.54</v>
      </c>
      <c r="G70" s="22"/>
      <c r="H70" s="19">
        <f>ROUND(F70*AE70,2)</f>
        <v>0</v>
      </c>
      <c r="I70" s="19">
        <f>J70-H70</f>
        <v>0</v>
      </c>
      <c r="J70" s="19">
        <f>ROUND(F70*G70,2)</f>
        <v>0</v>
      </c>
      <c r="K70" s="19">
        <v>0</v>
      </c>
      <c r="L70" s="19">
        <f>F70*K70</f>
        <v>0</v>
      </c>
      <c r="M70" s="32"/>
      <c r="N70" s="31" t="s">
        <v>50</v>
      </c>
      <c r="O70" s="18">
        <f>IF(N70="5",I70,0)</f>
        <v>0</v>
      </c>
      <c r="Z70" s="18">
        <f>IF(AD70=0,J70,0)</f>
        <v>0</v>
      </c>
      <c r="AA70" s="18">
        <f>IF(AD70=15,J70,0)</f>
        <v>0</v>
      </c>
      <c r="AB70" s="18">
        <f>IF(AD70=21,J70,0)</f>
        <v>0</v>
      </c>
      <c r="AD70" s="35">
        <v>21</v>
      </c>
      <c r="AE70" s="35">
        <f>G70*1</f>
        <v>0</v>
      </c>
      <c r="AF70" s="35">
        <f>G70*(1-1)</f>
        <v>0</v>
      </c>
    </row>
    <row r="71" spans="1:28" ht="12.75">
      <c r="A71" s="8"/>
      <c r="B71" s="8"/>
      <c r="C71" s="8"/>
      <c r="D71" s="8"/>
      <c r="E71" s="8"/>
      <c r="F71" s="8"/>
      <c r="G71" s="8"/>
      <c r="H71" s="106" t="s">
        <v>183</v>
      </c>
      <c r="I71" s="107"/>
      <c r="J71" s="38">
        <f>J12+J14+J18+J22+J24+J26+J29+J31+J33+J37+J40+J43+J45+J48+J50+J56+J58+J60+J66</f>
        <v>0</v>
      </c>
      <c r="K71" s="8"/>
      <c r="L71" s="8"/>
      <c r="M71" s="8"/>
      <c r="Z71" s="39">
        <f>SUM(Z13:Z70)</f>
        <v>0</v>
      </c>
      <c r="AA71" s="39">
        <f>SUM(AA13:AA70)</f>
        <v>0</v>
      </c>
      <c r="AB71" s="39">
        <f>SUM(AB13:AB70)</f>
        <v>0</v>
      </c>
    </row>
    <row r="72" ht="11.25" customHeight="1">
      <c r="A72" s="9" t="s">
        <v>47</v>
      </c>
    </row>
    <row r="73" spans="1:13" ht="409.5" customHeight="1" hidden="1">
      <c r="A73" s="93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</row>
  </sheetData>
  <sheetProtection/>
  <mergeCells count="48">
    <mergeCell ref="D58:G58"/>
    <mergeCell ref="D60:G60"/>
    <mergeCell ref="D66:G66"/>
    <mergeCell ref="H71:I71"/>
    <mergeCell ref="A73:M73"/>
    <mergeCell ref="D40:G40"/>
    <mergeCell ref="D43:G43"/>
    <mergeCell ref="D45:G45"/>
    <mergeCell ref="D48:G48"/>
    <mergeCell ref="D50:G50"/>
    <mergeCell ref="D56:G56"/>
    <mergeCell ref="D24:G24"/>
    <mergeCell ref="D26:G26"/>
    <mergeCell ref="D29:G29"/>
    <mergeCell ref="D31:G31"/>
    <mergeCell ref="D33:G33"/>
    <mergeCell ref="D37:G37"/>
    <mergeCell ref="H10:J10"/>
    <mergeCell ref="K10:L10"/>
    <mergeCell ref="D12:G12"/>
    <mergeCell ref="D14:G14"/>
    <mergeCell ref="D18:G18"/>
    <mergeCell ref="D22:G22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A1" sqref="A1:F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80" t="s">
        <v>212</v>
      </c>
      <c r="B1" s="81"/>
      <c r="C1" s="81"/>
      <c r="D1" s="81"/>
      <c r="E1" s="81"/>
      <c r="F1" s="81"/>
      <c r="G1" s="22"/>
    </row>
    <row r="2" spans="1:8" ht="12.75">
      <c r="A2" s="82" t="s">
        <v>1</v>
      </c>
      <c r="B2" s="86" t="s">
        <v>105</v>
      </c>
      <c r="C2" s="107"/>
      <c r="D2" s="89" t="s">
        <v>184</v>
      </c>
      <c r="E2" s="89" t="s">
        <v>189</v>
      </c>
      <c r="F2" s="83"/>
      <c r="G2" s="90"/>
      <c r="H2" s="33"/>
    </row>
    <row r="3" spans="1:8" ht="12.75">
      <c r="A3" s="84"/>
      <c r="B3" s="87"/>
      <c r="C3" s="87"/>
      <c r="D3" s="85"/>
      <c r="E3" s="85"/>
      <c r="F3" s="85"/>
      <c r="G3" s="91"/>
      <c r="H3" s="33"/>
    </row>
    <row r="4" spans="1:8" ht="12.75">
      <c r="A4" s="92" t="s">
        <v>2</v>
      </c>
      <c r="B4" s="93" t="s">
        <v>106</v>
      </c>
      <c r="C4" s="85"/>
      <c r="D4" s="93" t="s">
        <v>185</v>
      </c>
      <c r="E4" s="93" t="s">
        <v>190</v>
      </c>
      <c r="F4" s="85"/>
      <c r="G4" s="91"/>
      <c r="H4" s="33"/>
    </row>
    <row r="5" spans="1:8" ht="12.75">
      <c r="A5" s="84"/>
      <c r="B5" s="85"/>
      <c r="C5" s="85"/>
      <c r="D5" s="85"/>
      <c r="E5" s="85"/>
      <c r="F5" s="85"/>
      <c r="G5" s="91"/>
      <c r="H5" s="33"/>
    </row>
    <row r="6" spans="1:8" ht="12.75">
      <c r="A6" s="92" t="s">
        <v>3</v>
      </c>
      <c r="B6" s="93" t="s">
        <v>107</v>
      </c>
      <c r="C6" s="85"/>
      <c r="D6" s="93" t="s">
        <v>186</v>
      </c>
      <c r="E6" s="93" t="s">
        <v>191</v>
      </c>
      <c r="F6" s="85"/>
      <c r="G6" s="91"/>
      <c r="H6" s="33"/>
    </row>
    <row r="7" spans="1:8" ht="12.75">
      <c r="A7" s="84"/>
      <c r="B7" s="85"/>
      <c r="C7" s="85"/>
      <c r="D7" s="85"/>
      <c r="E7" s="85"/>
      <c r="F7" s="85"/>
      <c r="G7" s="91"/>
      <c r="H7" s="33"/>
    </row>
    <row r="8" spans="1:8" ht="12.75">
      <c r="A8" s="92" t="s">
        <v>187</v>
      </c>
      <c r="B8" s="93" t="s">
        <v>192</v>
      </c>
      <c r="C8" s="85"/>
      <c r="D8" s="94" t="s">
        <v>172</v>
      </c>
      <c r="E8" s="97">
        <v>41797</v>
      </c>
      <c r="F8" s="85"/>
      <c r="G8" s="91"/>
      <c r="H8" s="33"/>
    </row>
    <row r="9" spans="1:8" ht="12.75">
      <c r="A9" s="95"/>
      <c r="B9" s="96"/>
      <c r="C9" s="96"/>
      <c r="D9" s="96"/>
      <c r="E9" s="96"/>
      <c r="F9" s="96"/>
      <c r="G9" s="98"/>
      <c r="H9" s="33"/>
    </row>
    <row r="10" spans="1:8" ht="12.75">
      <c r="A10" s="40" t="s">
        <v>48</v>
      </c>
      <c r="B10" s="42" t="s">
        <v>49</v>
      </c>
      <c r="C10" s="43" t="s">
        <v>213</v>
      </c>
      <c r="D10" s="44" t="s">
        <v>214</v>
      </c>
      <c r="E10" s="44" t="s">
        <v>215</v>
      </c>
      <c r="F10" s="44" t="s">
        <v>216</v>
      </c>
      <c r="G10" s="47" t="s">
        <v>217</v>
      </c>
      <c r="H10" s="34"/>
    </row>
    <row r="11" spans="1:9" ht="12.75">
      <c r="A11" s="41"/>
      <c r="B11" s="41" t="s">
        <v>50</v>
      </c>
      <c r="C11" s="41" t="s">
        <v>110</v>
      </c>
      <c r="D11" s="45"/>
      <c r="E11" s="45"/>
      <c r="F11" s="48">
        <f aca="true" t="shared" si="0" ref="F11:F29">D11+E11</f>
        <v>0</v>
      </c>
      <c r="G11" s="48">
        <v>0</v>
      </c>
      <c r="H11" s="35" t="s">
        <v>218</v>
      </c>
      <c r="I11" s="35">
        <f aca="true" t="shared" si="1" ref="I11:I29">IF(H11="T",0,F11)</f>
        <v>0</v>
      </c>
    </row>
    <row r="12" spans="1:9" ht="12.75">
      <c r="A12" s="15"/>
      <c r="B12" s="15" t="s">
        <v>37</v>
      </c>
      <c r="C12" s="15" t="s">
        <v>112</v>
      </c>
      <c r="F12" s="35">
        <f t="shared" si="0"/>
        <v>0</v>
      </c>
      <c r="G12" s="35">
        <v>0.14864</v>
      </c>
      <c r="H12" s="35" t="s">
        <v>218</v>
      </c>
      <c r="I12" s="35">
        <f t="shared" si="1"/>
        <v>0</v>
      </c>
    </row>
    <row r="13" spans="1:9" ht="12.75">
      <c r="A13" s="15"/>
      <c r="B13" s="15" t="s">
        <v>40</v>
      </c>
      <c r="C13" s="15" t="s">
        <v>116</v>
      </c>
      <c r="F13" s="35">
        <f t="shared" si="0"/>
        <v>0</v>
      </c>
      <c r="G13" s="35">
        <v>7.35489</v>
      </c>
      <c r="H13" s="35" t="s">
        <v>218</v>
      </c>
      <c r="I13" s="35">
        <f t="shared" si="1"/>
        <v>0</v>
      </c>
    </row>
    <row r="14" spans="1:9" ht="12.75">
      <c r="A14" s="15"/>
      <c r="B14" s="15" t="s">
        <v>58</v>
      </c>
      <c r="C14" s="15" t="s">
        <v>120</v>
      </c>
      <c r="F14" s="35">
        <f t="shared" si="0"/>
        <v>0</v>
      </c>
      <c r="G14" s="35">
        <v>3.25089</v>
      </c>
      <c r="H14" s="35" t="s">
        <v>218</v>
      </c>
      <c r="I14" s="35">
        <f t="shared" si="1"/>
        <v>0</v>
      </c>
    </row>
    <row r="15" spans="1:9" ht="12.75">
      <c r="A15" s="15"/>
      <c r="B15" s="15" t="s">
        <v>60</v>
      </c>
      <c r="C15" s="15" t="s">
        <v>122</v>
      </c>
      <c r="F15" s="35">
        <f t="shared" si="0"/>
        <v>0</v>
      </c>
      <c r="G15" s="35">
        <v>0.49062</v>
      </c>
      <c r="H15" s="35" t="s">
        <v>218</v>
      </c>
      <c r="I15" s="35">
        <f t="shared" si="1"/>
        <v>0</v>
      </c>
    </row>
    <row r="16" spans="1:9" ht="12.75">
      <c r="A16" s="15"/>
      <c r="B16" s="15" t="s">
        <v>62</v>
      </c>
      <c r="C16" s="15" t="s">
        <v>124</v>
      </c>
      <c r="F16" s="35">
        <f t="shared" si="0"/>
        <v>0</v>
      </c>
      <c r="G16" s="35">
        <v>0.00716</v>
      </c>
      <c r="H16" s="35" t="s">
        <v>218</v>
      </c>
      <c r="I16" s="35">
        <f t="shared" si="1"/>
        <v>0</v>
      </c>
    </row>
    <row r="17" spans="1:9" ht="12.75">
      <c r="A17" s="15"/>
      <c r="B17" s="15" t="s">
        <v>65</v>
      </c>
      <c r="C17" s="15" t="s">
        <v>127</v>
      </c>
      <c r="F17" s="35">
        <f t="shared" si="0"/>
        <v>0</v>
      </c>
      <c r="G17" s="35">
        <v>0.00336</v>
      </c>
      <c r="H17" s="35" t="s">
        <v>218</v>
      </c>
      <c r="I17" s="35">
        <f t="shared" si="1"/>
        <v>0</v>
      </c>
    </row>
    <row r="18" spans="1:9" ht="12.75">
      <c r="A18" s="15"/>
      <c r="B18" s="15" t="s">
        <v>67</v>
      </c>
      <c r="C18" s="15" t="s">
        <v>129</v>
      </c>
      <c r="F18" s="35">
        <f t="shared" si="0"/>
        <v>0</v>
      </c>
      <c r="G18" s="35">
        <v>0.07695</v>
      </c>
      <c r="H18" s="35" t="s">
        <v>218</v>
      </c>
      <c r="I18" s="35">
        <f t="shared" si="1"/>
        <v>0</v>
      </c>
    </row>
    <row r="19" spans="1:9" ht="12.75">
      <c r="A19" s="15"/>
      <c r="B19" s="15" t="s">
        <v>69</v>
      </c>
      <c r="C19" s="15" t="s">
        <v>131</v>
      </c>
      <c r="F19" s="35">
        <f t="shared" si="0"/>
        <v>0</v>
      </c>
      <c r="G19" s="35">
        <v>0.91509</v>
      </c>
      <c r="H19" s="35" t="s">
        <v>218</v>
      </c>
      <c r="I19" s="35">
        <f t="shared" si="1"/>
        <v>0</v>
      </c>
    </row>
    <row r="20" spans="1:9" ht="12.75">
      <c r="A20" s="15"/>
      <c r="B20" s="15" t="s">
        <v>73</v>
      </c>
      <c r="C20" s="15" t="s">
        <v>135</v>
      </c>
      <c r="F20" s="35">
        <f t="shared" si="0"/>
        <v>0</v>
      </c>
      <c r="G20" s="35">
        <v>0.13884</v>
      </c>
      <c r="H20" s="35" t="s">
        <v>218</v>
      </c>
      <c r="I20" s="35">
        <f t="shared" si="1"/>
        <v>0</v>
      </c>
    </row>
    <row r="21" spans="1:9" ht="12.75">
      <c r="A21" s="15"/>
      <c r="B21" s="15" t="s">
        <v>76</v>
      </c>
      <c r="C21" s="15" t="s">
        <v>138</v>
      </c>
      <c r="F21" s="35">
        <f t="shared" si="0"/>
        <v>0</v>
      </c>
      <c r="G21" s="35">
        <v>11.85789</v>
      </c>
      <c r="H21" s="35" t="s">
        <v>218</v>
      </c>
      <c r="I21" s="35">
        <f t="shared" si="1"/>
        <v>0</v>
      </c>
    </row>
    <row r="22" spans="1:9" ht="12.75">
      <c r="A22" s="15"/>
      <c r="B22" s="15" t="s">
        <v>79</v>
      </c>
      <c r="C22" s="15" t="s">
        <v>141</v>
      </c>
      <c r="F22" s="35">
        <f t="shared" si="0"/>
        <v>0</v>
      </c>
      <c r="G22" s="35">
        <v>0</v>
      </c>
      <c r="H22" s="35" t="s">
        <v>218</v>
      </c>
      <c r="I22" s="35">
        <f t="shared" si="1"/>
        <v>0</v>
      </c>
    </row>
    <row r="23" spans="1:9" ht="12.75">
      <c r="A23" s="15"/>
      <c r="B23" s="15" t="s">
        <v>81</v>
      </c>
      <c r="C23" s="15" t="s">
        <v>143</v>
      </c>
      <c r="F23" s="35">
        <f t="shared" si="0"/>
        <v>0</v>
      </c>
      <c r="G23" s="35">
        <v>0.0218</v>
      </c>
      <c r="H23" s="35" t="s">
        <v>218</v>
      </c>
      <c r="I23" s="35">
        <f t="shared" si="1"/>
        <v>0</v>
      </c>
    </row>
    <row r="24" spans="1:9" ht="12.75">
      <c r="A24" s="15"/>
      <c r="B24" s="15" t="s">
        <v>84</v>
      </c>
      <c r="C24" s="15" t="s">
        <v>146</v>
      </c>
      <c r="F24" s="35">
        <f t="shared" si="0"/>
        <v>0</v>
      </c>
      <c r="G24" s="35">
        <v>0.00581</v>
      </c>
      <c r="H24" s="35" t="s">
        <v>218</v>
      </c>
      <c r="I24" s="35">
        <f t="shared" si="1"/>
        <v>0</v>
      </c>
    </row>
    <row r="25" spans="1:9" ht="12.75">
      <c r="A25" s="15"/>
      <c r="B25" s="15" t="s">
        <v>86</v>
      </c>
      <c r="C25" s="15" t="s">
        <v>148</v>
      </c>
      <c r="F25" s="35">
        <f t="shared" si="0"/>
        <v>0</v>
      </c>
      <c r="G25" s="35">
        <v>11.80445</v>
      </c>
      <c r="H25" s="35" t="s">
        <v>218</v>
      </c>
      <c r="I25" s="35">
        <f t="shared" si="1"/>
        <v>0</v>
      </c>
    </row>
    <row r="26" spans="1:9" ht="12.75">
      <c r="A26" s="15"/>
      <c r="B26" s="15" t="s">
        <v>92</v>
      </c>
      <c r="C26" s="15" t="s">
        <v>154</v>
      </c>
      <c r="F26" s="35">
        <f t="shared" si="0"/>
        <v>0</v>
      </c>
      <c r="G26" s="35">
        <v>10.69164</v>
      </c>
      <c r="H26" s="35" t="s">
        <v>218</v>
      </c>
      <c r="I26" s="35">
        <f t="shared" si="1"/>
        <v>0</v>
      </c>
    </row>
    <row r="27" spans="1:9" ht="12.75">
      <c r="A27" s="15"/>
      <c r="B27" s="15" t="s">
        <v>94</v>
      </c>
      <c r="C27" s="15" t="s">
        <v>156</v>
      </c>
      <c r="F27" s="35">
        <f t="shared" si="0"/>
        <v>0</v>
      </c>
      <c r="G27" s="35">
        <v>0</v>
      </c>
      <c r="H27" s="35" t="s">
        <v>218</v>
      </c>
      <c r="I27" s="35">
        <f t="shared" si="1"/>
        <v>0</v>
      </c>
    </row>
    <row r="28" spans="1:9" ht="12.75">
      <c r="A28" s="15"/>
      <c r="B28" s="15" t="s">
        <v>96</v>
      </c>
      <c r="C28" s="15" t="s">
        <v>158</v>
      </c>
      <c r="F28" s="35">
        <f t="shared" si="0"/>
        <v>0</v>
      </c>
      <c r="G28" s="35">
        <v>0</v>
      </c>
      <c r="H28" s="35" t="s">
        <v>218</v>
      </c>
      <c r="I28" s="35">
        <f t="shared" si="1"/>
        <v>0</v>
      </c>
    </row>
    <row r="29" spans="1:9" ht="12.75">
      <c r="A29" s="15"/>
      <c r="B29" s="15"/>
      <c r="C29" s="15" t="s">
        <v>164</v>
      </c>
      <c r="F29" s="35">
        <f t="shared" si="0"/>
        <v>0</v>
      </c>
      <c r="G29" s="35">
        <v>2.918</v>
      </c>
      <c r="H29" s="35" t="s">
        <v>218</v>
      </c>
      <c r="I29" s="35">
        <f t="shared" si="1"/>
        <v>0</v>
      </c>
    </row>
    <row r="31" spans="5:6" ht="12.75">
      <c r="E31" s="46" t="s">
        <v>183</v>
      </c>
      <c r="F31" s="39">
        <f>SUM(I11:I29)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F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62.8515625" style="0" customWidth="1"/>
    <col min="5" max="5" width="14.7109375" style="0" customWidth="1"/>
    <col min="6" max="6" width="71.28125" style="0" customWidth="1"/>
    <col min="7" max="7" width="13.7109375" style="0" customWidth="1"/>
    <col min="8" max="8" width="13.421875" style="0" customWidth="1"/>
  </cols>
  <sheetData>
    <row r="1" spans="1:8" ht="21.75" customHeight="1">
      <c r="A1" s="80" t="s">
        <v>219</v>
      </c>
      <c r="B1" s="81"/>
      <c r="C1" s="81"/>
      <c r="D1" s="81"/>
      <c r="E1" s="81"/>
      <c r="F1" s="81"/>
      <c r="G1" s="81"/>
      <c r="H1" s="81"/>
    </row>
    <row r="2" spans="1:9" ht="12.75">
      <c r="A2" s="82" t="s">
        <v>1</v>
      </c>
      <c r="B2" s="83"/>
      <c r="C2" s="86" t="s">
        <v>105</v>
      </c>
      <c r="D2" s="107"/>
      <c r="E2" s="89" t="s">
        <v>184</v>
      </c>
      <c r="F2" s="89" t="s">
        <v>189</v>
      </c>
      <c r="G2" s="83"/>
      <c r="H2" s="90"/>
      <c r="I2" s="33"/>
    </row>
    <row r="3" spans="1:9" ht="12.75">
      <c r="A3" s="84"/>
      <c r="B3" s="85"/>
      <c r="C3" s="87"/>
      <c r="D3" s="87"/>
      <c r="E3" s="85"/>
      <c r="F3" s="85"/>
      <c r="G3" s="85"/>
      <c r="H3" s="91"/>
      <c r="I3" s="33"/>
    </row>
    <row r="4" spans="1:9" ht="12.75">
      <c r="A4" s="92" t="s">
        <v>2</v>
      </c>
      <c r="B4" s="85"/>
      <c r="C4" s="93" t="s">
        <v>106</v>
      </c>
      <c r="D4" s="85"/>
      <c r="E4" s="93" t="s">
        <v>185</v>
      </c>
      <c r="F4" s="93" t="s">
        <v>190</v>
      </c>
      <c r="G4" s="85"/>
      <c r="H4" s="91"/>
      <c r="I4" s="33"/>
    </row>
    <row r="5" spans="1:9" ht="12.75">
      <c r="A5" s="84"/>
      <c r="B5" s="85"/>
      <c r="C5" s="85"/>
      <c r="D5" s="85"/>
      <c r="E5" s="85"/>
      <c r="F5" s="85"/>
      <c r="G5" s="85"/>
      <c r="H5" s="91"/>
      <c r="I5" s="33"/>
    </row>
    <row r="6" spans="1:9" ht="12.75">
      <c r="A6" s="92" t="s">
        <v>3</v>
      </c>
      <c r="B6" s="85"/>
      <c r="C6" s="93" t="s">
        <v>107</v>
      </c>
      <c r="D6" s="85"/>
      <c r="E6" s="93" t="s">
        <v>186</v>
      </c>
      <c r="F6" s="93" t="s">
        <v>191</v>
      </c>
      <c r="G6" s="85"/>
      <c r="H6" s="91"/>
      <c r="I6" s="33"/>
    </row>
    <row r="7" spans="1:9" ht="12.75">
      <c r="A7" s="84"/>
      <c r="B7" s="85"/>
      <c r="C7" s="85"/>
      <c r="D7" s="85"/>
      <c r="E7" s="85"/>
      <c r="F7" s="85"/>
      <c r="G7" s="85"/>
      <c r="H7" s="91"/>
      <c r="I7" s="33"/>
    </row>
    <row r="8" spans="1:9" ht="12.75">
      <c r="A8" s="92" t="s">
        <v>187</v>
      </c>
      <c r="B8" s="85"/>
      <c r="C8" s="93" t="s">
        <v>192</v>
      </c>
      <c r="D8" s="85"/>
      <c r="E8" s="94" t="s">
        <v>172</v>
      </c>
      <c r="F8" s="97">
        <v>41797</v>
      </c>
      <c r="G8" s="85"/>
      <c r="H8" s="91"/>
      <c r="I8" s="33"/>
    </row>
    <row r="9" spans="1:9" ht="12.75">
      <c r="A9" s="95"/>
      <c r="B9" s="96"/>
      <c r="C9" s="96"/>
      <c r="D9" s="96"/>
      <c r="E9" s="96"/>
      <c r="F9" s="96"/>
      <c r="G9" s="96"/>
      <c r="H9" s="98"/>
      <c r="I9" s="33"/>
    </row>
    <row r="10" spans="1:9" ht="12.75">
      <c r="A10" s="42" t="s">
        <v>5</v>
      </c>
      <c r="B10" s="43" t="s">
        <v>48</v>
      </c>
      <c r="C10" s="43" t="s">
        <v>49</v>
      </c>
      <c r="D10" s="43" t="s">
        <v>108</v>
      </c>
      <c r="E10" s="43" t="s">
        <v>173</v>
      </c>
      <c r="F10" s="43" t="s">
        <v>109</v>
      </c>
      <c r="G10" s="50" t="s">
        <v>178</v>
      </c>
      <c r="H10" s="40" t="s">
        <v>288</v>
      </c>
      <c r="I10" s="34"/>
    </row>
    <row r="11" spans="1:8" ht="12.75">
      <c r="A11" s="49" t="s">
        <v>7</v>
      </c>
      <c r="B11" s="49"/>
      <c r="C11" s="49" t="s">
        <v>51</v>
      </c>
      <c r="D11" s="49" t="s">
        <v>111</v>
      </c>
      <c r="E11" s="49" t="s">
        <v>174</v>
      </c>
      <c r="F11" s="49" t="s">
        <v>220</v>
      </c>
      <c r="G11" s="51">
        <v>2</v>
      </c>
      <c r="H11" s="52"/>
    </row>
    <row r="12" spans="1:8" ht="12.75">
      <c r="A12" s="4" t="s">
        <v>8</v>
      </c>
      <c r="B12" s="4"/>
      <c r="C12" s="4" t="s">
        <v>52</v>
      </c>
      <c r="D12" s="4" t="s">
        <v>113</v>
      </c>
      <c r="E12" s="4" t="s">
        <v>175</v>
      </c>
      <c r="F12" s="4" t="s">
        <v>221</v>
      </c>
      <c r="G12" s="17">
        <v>0.01</v>
      </c>
      <c r="H12" s="30" t="s">
        <v>197</v>
      </c>
    </row>
    <row r="13" spans="1:8" ht="12.75">
      <c r="A13" s="4" t="s">
        <v>9</v>
      </c>
      <c r="B13" s="4"/>
      <c r="C13" s="4" t="s">
        <v>53</v>
      </c>
      <c r="D13" s="4" t="s">
        <v>114</v>
      </c>
      <c r="E13" s="4" t="s">
        <v>176</v>
      </c>
      <c r="F13" s="4" t="s">
        <v>222</v>
      </c>
      <c r="G13" s="17">
        <v>3</v>
      </c>
      <c r="H13" s="30" t="s">
        <v>197</v>
      </c>
    </row>
    <row r="14" spans="1:8" ht="12.75">
      <c r="A14" s="4" t="s">
        <v>10</v>
      </c>
      <c r="B14" s="4"/>
      <c r="C14" s="4" t="s">
        <v>54</v>
      </c>
      <c r="D14" s="4" t="s">
        <v>115</v>
      </c>
      <c r="E14" s="4" t="s">
        <v>176</v>
      </c>
      <c r="F14" s="4" t="s">
        <v>223</v>
      </c>
      <c r="G14" s="17">
        <v>1</v>
      </c>
      <c r="H14" s="30" t="s">
        <v>197</v>
      </c>
    </row>
    <row r="15" spans="1:8" ht="12.75">
      <c r="A15" s="4" t="s">
        <v>11</v>
      </c>
      <c r="B15" s="4"/>
      <c r="C15" s="4" t="s">
        <v>55</v>
      </c>
      <c r="D15" s="4" t="s">
        <v>117</v>
      </c>
      <c r="E15" s="4" t="s">
        <v>177</v>
      </c>
      <c r="F15" s="4" t="s">
        <v>224</v>
      </c>
      <c r="G15" s="17">
        <v>66.41</v>
      </c>
      <c r="H15" s="30" t="s">
        <v>197</v>
      </c>
    </row>
    <row r="16" spans="1:7" ht="12.75">
      <c r="A16" s="4"/>
      <c r="B16" s="4"/>
      <c r="C16" s="4"/>
      <c r="D16" s="4"/>
      <c r="E16" s="4"/>
      <c r="F16" s="4" t="s">
        <v>225</v>
      </c>
      <c r="G16" s="17">
        <v>36.3</v>
      </c>
    </row>
    <row r="17" spans="1:7" ht="12.75">
      <c r="A17" s="4"/>
      <c r="B17" s="4"/>
      <c r="C17" s="4"/>
      <c r="D17" s="4"/>
      <c r="E17" s="4"/>
      <c r="F17" s="4" t="s">
        <v>226</v>
      </c>
      <c r="G17" s="17">
        <v>-5.02</v>
      </c>
    </row>
    <row r="18" spans="1:7" ht="12.75">
      <c r="A18" s="4"/>
      <c r="B18" s="4"/>
      <c r="C18" s="4"/>
      <c r="D18" s="4"/>
      <c r="E18" s="4"/>
      <c r="F18" s="4" t="s">
        <v>227</v>
      </c>
      <c r="G18" s="17">
        <v>1.8</v>
      </c>
    </row>
    <row r="19" spans="1:8" ht="12.75">
      <c r="A19" s="4" t="s">
        <v>12</v>
      </c>
      <c r="B19" s="4"/>
      <c r="C19" s="4" t="s">
        <v>56</v>
      </c>
      <c r="D19" s="4" t="s">
        <v>118</v>
      </c>
      <c r="E19" s="4" t="s">
        <v>177</v>
      </c>
      <c r="F19" s="4" t="s">
        <v>228</v>
      </c>
      <c r="G19" s="17">
        <v>0.33</v>
      </c>
      <c r="H19" s="30" t="s">
        <v>197</v>
      </c>
    </row>
    <row r="20" spans="1:8" ht="12.75">
      <c r="A20" s="4" t="s">
        <v>13</v>
      </c>
      <c r="B20" s="4"/>
      <c r="C20" s="4" t="s">
        <v>57</v>
      </c>
      <c r="D20" s="4" t="s">
        <v>119</v>
      </c>
      <c r="E20" s="4" t="s">
        <v>177</v>
      </c>
      <c r="F20" s="4" t="s">
        <v>229</v>
      </c>
      <c r="G20" s="17">
        <v>13.77</v>
      </c>
      <c r="H20" s="30" t="s">
        <v>197</v>
      </c>
    </row>
    <row r="21" spans="1:8" ht="12.75">
      <c r="A21" s="4" t="s">
        <v>14</v>
      </c>
      <c r="B21" s="4"/>
      <c r="C21" s="4" t="s">
        <v>59</v>
      </c>
      <c r="D21" s="4" t="s">
        <v>121</v>
      </c>
      <c r="E21" s="4" t="s">
        <v>177</v>
      </c>
      <c r="F21" s="4" t="s">
        <v>230</v>
      </c>
      <c r="G21" s="17">
        <v>68.21</v>
      </c>
      <c r="H21" s="30" t="s">
        <v>197</v>
      </c>
    </row>
    <row r="22" spans="1:7" ht="12.75">
      <c r="A22" s="4"/>
      <c r="B22" s="4"/>
      <c r="C22" s="4"/>
      <c r="D22" s="4"/>
      <c r="E22" s="4"/>
      <c r="F22" s="4" t="s">
        <v>231</v>
      </c>
      <c r="G22" s="17">
        <v>1.8</v>
      </c>
    </row>
    <row r="23" spans="1:8" ht="12.75">
      <c r="A23" s="4" t="s">
        <v>15</v>
      </c>
      <c r="B23" s="4"/>
      <c r="C23" s="4" t="s">
        <v>61</v>
      </c>
      <c r="D23" s="4" t="s">
        <v>123</v>
      </c>
      <c r="E23" s="4" t="s">
        <v>176</v>
      </c>
      <c r="F23" s="4" t="s">
        <v>232</v>
      </c>
      <c r="G23" s="17">
        <v>3</v>
      </c>
      <c r="H23" s="30" t="s">
        <v>197</v>
      </c>
    </row>
    <row r="24" spans="1:7" ht="12.75">
      <c r="A24" s="4"/>
      <c r="B24" s="4"/>
      <c r="C24" s="4"/>
      <c r="D24" s="4"/>
      <c r="E24" s="4"/>
      <c r="F24" s="4" t="s">
        <v>233</v>
      </c>
      <c r="G24" s="17">
        <v>1</v>
      </c>
    </row>
    <row r="25" spans="1:8" ht="12.75">
      <c r="A25" s="4" t="s">
        <v>16</v>
      </c>
      <c r="B25" s="4"/>
      <c r="C25" s="4" t="s">
        <v>63</v>
      </c>
      <c r="D25" s="4" t="s">
        <v>125</v>
      </c>
      <c r="E25" s="4" t="s">
        <v>177</v>
      </c>
      <c r="F25" s="4" t="s">
        <v>234</v>
      </c>
      <c r="G25" s="17">
        <v>99.91</v>
      </c>
      <c r="H25" s="30" t="s">
        <v>197</v>
      </c>
    </row>
    <row r="26" spans="1:8" ht="12.75">
      <c r="A26" s="4" t="s">
        <v>17</v>
      </c>
      <c r="B26" s="4"/>
      <c r="C26" s="4" t="s">
        <v>64</v>
      </c>
      <c r="D26" s="4" t="s">
        <v>126</v>
      </c>
      <c r="E26" s="4" t="s">
        <v>177</v>
      </c>
      <c r="F26" s="4" t="s">
        <v>235</v>
      </c>
      <c r="G26" s="17">
        <v>42.12</v>
      </c>
      <c r="H26" s="30" t="s">
        <v>197</v>
      </c>
    </row>
    <row r="27" spans="1:7" ht="12.75">
      <c r="A27" s="4"/>
      <c r="B27" s="4"/>
      <c r="C27" s="4"/>
      <c r="D27" s="4"/>
      <c r="E27" s="4"/>
      <c r="F27" s="4" t="s">
        <v>236</v>
      </c>
      <c r="G27" s="17">
        <v>-0.6</v>
      </c>
    </row>
    <row r="28" spans="1:7" ht="12.75">
      <c r="A28" s="4"/>
      <c r="B28" s="4"/>
      <c r="C28" s="4"/>
      <c r="D28" s="4"/>
      <c r="E28" s="4"/>
      <c r="F28" s="4" t="s">
        <v>237</v>
      </c>
      <c r="G28" s="17">
        <v>11.01</v>
      </c>
    </row>
    <row r="29" spans="1:7" ht="12.75">
      <c r="A29" s="4"/>
      <c r="B29" s="4"/>
      <c r="C29" s="4"/>
      <c r="D29" s="4"/>
      <c r="E29" s="4"/>
      <c r="F29" s="4" t="s">
        <v>238</v>
      </c>
      <c r="G29" s="17">
        <v>1</v>
      </c>
    </row>
    <row r="30" spans="1:7" ht="12.75">
      <c r="A30" s="4"/>
      <c r="B30" s="4"/>
      <c r="C30" s="4"/>
      <c r="D30" s="4"/>
      <c r="E30" s="4"/>
      <c r="F30" s="4" t="s">
        <v>239</v>
      </c>
      <c r="G30" s="17">
        <v>17.92</v>
      </c>
    </row>
    <row r="31" spans="1:7" ht="12.75">
      <c r="A31" s="4"/>
      <c r="B31" s="4"/>
      <c r="C31" s="4"/>
      <c r="D31" s="4"/>
      <c r="E31" s="4"/>
      <c r="F31" s="4" t="s">
        <v>240</v>
      </c>
      <c r="G31" s="17">
        <v>1.6</v>
      </c>
    </row>
    <row r="32" spans="1:7" ht="12.75">
      <c r="A32" s="4"/>
      <c r="B32" s="4"/>
      <c r="C32" s="4"/>
      <c r="D32" s="4"/>
      <c r="E32" s="4"/>
      <c r="F32" s="4" t="s">
        <v>241</v>
      </c>
      <c r="G32" s="17">
        <v>0</v>
      </c>
    </row>
    <row r="33" spans="1:8" ht="12.75">
      <c r="A33" s="4" t="s">
        <v>18</v>
      </c>
      <c r="B33" s="4"/>
      <c r="C33" s="4" t="s">
        <v>66</v>
      </c>
      <c r="D33" s="4" t="s">
        <v>128</v>
      </c>
      <c r="E33" s="4" t="s">
        <v>176</v>
      </c>
      <c r="F33" s="4" t="s">
        <v>242</v>
      </c>
      <c r="G33" s="17">
        <v>2</v>
      </c>
      <c r="H33" s="30" t="s">
        <v>197</v>
      </c>
    </row>
    <row r="34" spans="1:7" ht="12.75">
      <c r="A34" s="4"/>
      <c r="B34" s="4"/>
      <c r="C34" s="4"/>
      <c r="D34" s="4"/>
      <c r="E34" s="4"/>
      <c r="F34" s="4" t="s">
        <v>241</v>
      </c>
      <c r="G34" s="17">
        <v>0</v>
      </c>
    </row>
    <row r="35" spans="1:8" ht="12.75">
      <c r="A35" s="4" t="s">
        <v>19</v>
      </c>
      <c r="B35" s="4"/>
      <c r="C35" s="4" t="s">
        <v>68</v>
      </c>
      <c r="D35" s="4" t="s">
        <v>130</v>
      </c>
      <c r="E35" s="4" t="s">
        <v>177</v>
      </c>
      <c r="F35" s="4" t="s">
        <v>243</v>
      </c>
      <c r="G35" s="17">
        <v>15.39</v>
      </c>
      <c r="H35" s="30" t="s">
        <v>197</v>
      </c>
    </row>
    <row r="36" spans="1:7" ht="12.75">
      <c r="A36" s="4"/>
      <c r="B36" s="4"/>
      <c r="C36" s="4"/>
      <c r="D36" s="4"/>
      <c r="E36" s="4"/>
      <c r="F36" s="4" t="s">
        <v>244</v>
      </c>
      <c r="G36" s="17">
        <v>13.77</v>
      </c>
    </row>
    <row r="37" spans="1:7" ht="12.75">
      <c r="A37" s="4"/>
      <c r="B37" s="4"/>
      <c r="C37" s="4"/>
      <c r="D37" s="4"/>
      <c r="E37" s="4"/>
      <c r="F37" s="4" t="s">
        <v>245</v>
      </c>
      <c r="G37" s="17">
        <v>0</v>
      </c>
    </row>
    <row r="38" spans="1:8" ht="12.75">
      <c r="A38" s="4" t="s">
        <v>20</v>
      </c>
      <c r="B38" s="4"/>
      <c r="C38" s="4" t="s">
        <v>70</v>
      </c>
      <c r="D38" s="4" t="s">
        <v>132</v>
      </c>
      <c r="E38" s="4" t="s">
        <v>177</v>
      </c>
      <c r="F38" s="4" t="s">
        <v>246</v>
      </c>
      <c r="G38" s="17">
        <v>113.32</v>
      </c>
      <c r="H38" s="30" t="s">
        <v>197</v>
      </c>
    </row>
    <row r="39" spans="1:7" ht="12.75">
      <c r="A39" s="4"/>
      <c r="B39" s="4"/>
      <c r="C39" s="4"/>
      <c r="D39" s="4"/>
      <c r="E39" s="4"/>
      <c r="F39" s="4" t="s">
        <v>247</v>
      </c>
      <c r="G39" s="17">
        <v>3.53</v>
      </c>
    </row>
    <row r="40" spans="1:7" ht="12.75">
      <c r="A40" s="4"/>
      <c r="B40" s="4"/>
      <c r="C40" s="4"/>
      <c r="D40" s="4"/>
      <c r="E40" s="4"/>
      <c r="F40" s="4" t="s">
        <v>248</v>
      </c>
      <c r="G40" s="17">
        <v>9.88</v>
      </c>
    </row>
    <row r="41" spans="1:7" ht="12.75">
      <c r="A41" s="4"/>
      <c r="B41" s="4"/>
      <c r="C41" s="4"/>
      <c r="D41" s="4"/>
      <c r="E41" s="4"/>
      <c r="F41" s="4"/>
      <c r="G41" s="17">
        <v>0</v>
      </c>
    </row>
    <row r="42" spans="1:8" ht="12.75">
      <c r="A42" s="4" t="s">
        <v>21</v>
      </c>
      <c r="B42" s="4"/>
      <c r="C42" s="4" t="s">
        <v>71</v>
      </c>
      <c r="D42" s="4" t="s">
        <v>133</v>
      </c>
      <c r="E42" s="4" t="s">
        <v>177</v>
      </c>
      <c r="F42" s="4" t="s">
        <v>234</v>
      </c>
      <c r="G42" s="17">
        <v>113.32</v>
      </c>
      <c r="H42" s="30" t="s">
        <v>197</v>
      </c>
    </row>
    <row r="43" spans="1:7" ht="12.75">
      <c r="A43" s="4"/>
      <c r="B43" s="4"/>
      <c r="C43" s="4"/>
      <c r="D43" s="4"/>
      <c r="E43" s="4"/>
      <c r="F43" s="4" t="s">
        <v>247</v>
      </c>
      <c r="G43" s="17">
        <v>3.53</v>
      </c>
    </row>
    <row r="44" spans="1:7" ht="12.75">
      <c r="A44" s="4"/>
      <c r="B44" s="4"/>
      <c r="C44" s="4"/>
      <c r="D44" s="4"/>
      <c r="E44" s="4"/>
      <c r="F44" s="4" t="s">
        <v>248</v>
      </c>
      <c r="G44" s="17">
        <v>9.88</v>
      </c>
    </row>
    <row r="45" spans="1:8" ht="12.75">
      <c r="A45" s="4" t="s">
        <v>22</v>
      </c>
      <c r="B45" s="4"/>
      <c r="C45" s="4" t="s">
        <v>72</v>
      </c>
      <c r="D45" s="4" t="s">
        <v>134</v>
      </c>
      <c r="E45" s="4" t="s">
        <v>177</v>
      </c>
      <c r="F45" s="4" t="s">
        <v>234</v>
      </c>
      <c r="G45" s="17">
        <v>99.91</v>
      </c>
      <c r="H45" s="30" t="s">
        <v>197</v>
      </c>
    </row>
    <row r="46" spans="1:8" ht="12.75">
      <c r="A46" s="4" t="s">
        <v>23</v>
      </c>
      <c r="B46" s="4"/>
      <c r="C46" s="4" t="s">
        <v>74</v>
      </c>
      <c r="D46" s="4" t="s">
        <v>136</v>
      </c>
      <c r="E46" s="4" t="s">
        <v>177</v>
      </c>
      <c r="F46" s="4" t="s">
        <v>249</v>
      </c>
      <c r="G46" s="17">
        <v>31.94</v>
      </c>
      <c r="H46" s="30" t="s">
        <v>197</v>
      </c>
    </row>
    <row r="47" spans="1:7" ht="12.75">
      <c r="A47" s="4"/>
      <c r="B47" s="4"/>
      <c r="C47" s="4"/>
      <c r="D47" s="4"/>
      <c r="E47" s="4"/>
      <c r="F47" s="4" t="s">
        <v>229</v>
      </c>
      <c r="G47" s="17">
        <v>13.77</v>
      </c>
    </row>
    <row r="48" spans="1:8" ht="12.75">
      <c r="A48" s="4" t="s">
        <v>24</v>
      </c>
      <c r="B48" s="4"/>
      <c r="C48" s="4" t="s">
        <v>75</v>
      </c>
      <c r="D48" s="4" t="s">
        <v>137</v>
      </c>
      <c r="E48" s="4" t="s">
        <v>177</v>
      </c>
      <c r="F48" s="4" t="s">
        <v>250</v>
      </c>
      <c r="G48" s="17">
        <v>32.9</v>
      </c>
      <c r="H48" s="30" t="s">
        <v>197</v>
      </c>
    </row>
    <row r="49" spans="1:8" ht="12.75">
      <c r="A49" s="4" t="s">
        <v>25</v>
      </c>
      <c r="B49" s="4"/>
      <c r="C49" s="4" t="s">
        <v>77</v>
      </c>
      <c r="D49" s="4" t="s">
        <v>139</v>
      </c>
      <c r="E49" s="4" t="s">
        <v>177</v>
      </c>
      <c r="F49" s="4" t="s">
        <v>251</v>
      </c>
      <c r="G49" s="17">
        <v>169.67</v>
      </c>
      <c r="H49" s="30" t="s">
        <v>197</v>
      </c>
    </row>
    <row r="50" spans="1:7" ht="12.75">
      <c r="A50" s="4"/>
      <c r="B50" s="4"/>
      <c r="C50" s="4"/>
      <c r="D50" s="4"/>
      <c r="E50" s="4"/>
      <c r="F50" s="4" t="s">
        <v>252</v>
      </c>
      <c r="G50" s="17">
        <v>-3.6</v>
      </c>
    </row>
    <row r="51" spans="1:7" ht="12.75">
      <c r="A51" s="4"/>
      <c r="B51" s="4"/>
      <c r="C51" s="4"/>
      <c r="D51" s="4"/>
      <c r="E51" s="4"/>
      <c r="F51" s="4" t="s">
        <v>253</v>
      </c>
      <c r="G51" s="17">
        <v>52.41</v>
      </c>
    </row>
    <row r="52" spans="1:7" ht="12.75">
      <c r="A52" s="4"/>
      <c r="B52" s="4"/>
      <c r="C52" s="4"/>
      <c r="D52" s="4"/>
      <c r="E52" s="4"/>
      <c r="F52" s="4" t="s">
        <v>254</v>
      </c>
      <c r="G52" s="17">
        <v>3.6</v>
      </c>
    </row>
    <row r="53" spans="1:7" ht="12.75">
      <c r="A53" s="4"/>
      <c r="B53" s="4"/>
      <c r="C53" s="4"/>
      <c r="D53" s="4"/>
      <c r="E53" s="4"/>
      <c r="F53" s="4" t="s">
        <v>239</v>
      </c>
      <c r="G53" s="17">
        <v>17.92</v>
      </c>
    </row>
    <row r="54" spans="1:7" ht="12.75">
      <c r="A54" s="4"/>
      <c r="B54" s="4"/>
      <c r="C54" s="4"/>
      <c r="D54" s="4"/>
      <c r="E54" s="4"/>
      <c r="F54" s="4" t="s">
        <v>255</v>
      </c>
      <c r="G54" s="17">
        <v>26.16</v>
      </c>
    </row>
    <row r="55" spans="1:8" ht="12.75">
      <c r="A55" s="4" t="s">
        <v>26</v>
      </c>
      <c r="B55" s="4"/>
      <c r="C55" s="4" t="s">
        <v>78</v>
      </c>
      <c r="D55" s="4" t="s">
        <v>140</v>
      </c>
      <c r="E55" s="4" t="s">
        <v>177</v>
      </c>
      <c r="F55" s="4" t="s">
        <v>256</v>
      </c>
      <c r="G55" s="17">
        <v>166.52</v>
      </c>
      <c r="H55" s="30" t="s">
        <v>197</v>
      </c>
    </row>
    <row r="56" spans="1:8" ht="12.75">
      <c r="A56" s="4" t="s">
        <v>27</v>
      </c>
      <c r="B56" s="4"/>
      <c r="C56" s="4" t="s">
        <v>80</v>
      </c>
      <c r="D56" s="4" t="s">
        <v>142</v>
      </c>
      <c r="E56" s="4" t="s">
        <v>177</v>
      </c>
      <c r="F56" s="4" t="s">
        <v>257</v>
      </c>
      <c r="G56" s="17">
        <v>148.48</v>
      </c>
      <c r="H56" s="30"/>
    </row>
    <row r="57" spans="1:8" ht="12.75">
      <c r="A57" s="4" t="s">
        <v>28</v>
      </c>
      <c r="B57" s="4"/>
      <c r="C57" s="4" t="s">
        <v>82</v>
      </c>
      <c r="D57" s="4" t="s">
        <v>144</v>
      </c>
      <c r="E57" s="4" t="s">
        <v>177</v>
      </c>
      <c r="F57" s="4" t="s">
        <v>258</v>
      </c>
      <c r="G57" s="17">
        <v>62.02</v>
      </c>
      <c r="H57" s="30" t="s">
        <v>197</v>
      </c>
    </row>
    <row r="58" spans="1:7" ht="12.75">
      <c r="A58" s="4"/>
      <c r="B58" s="4"/>
      <c r="C58" s="4"/>
      <c r="D58" s="4"/>
      <c r="E58" s="4"/>
      <c r="F58" s="4" t="s">
        <v>259</v>
      </c>
      <c r="G58" s="17">
        <v>-74.4</v>
      </c>
    </row>
    <row r="59" spans="1:8" ht="12.75">
      <c r="A59" s="4" t="s">
        <v>29</v>
      </c>
      <c r="B59" s="4"/>
      <c r="C59" s="4" t="s">
        <v>83</v>
      </c>
      <c r="D59" s="4" t="s">
        <v>145</v>
      </c>
      <c r="E59" s="4" t="s">
        <v>177</v>
      </c>
      <c r="F59" s="4" t="s">
        <v>260</v>
      </c>
      <c r="G59" s="17">
        <v>14.43</v>
      </c>
      <c r="H59" s="30" t="s">
        <v>197</v>
      </c>
    </row>
    <row r="60" spans="1:7" ht="12.75">
      <c r="A60" s="4"/>
      <c r="B60" s="4"/>
      <c r="C60" s="4"/>
      <c r="D60" s="4"/>
      <c r="E60" s="4"/>
      <c r="F60" s="4" t="s">
        <v>261</v>
      </c>
      <c r="G60" s="17">
        <v>13.77</v>
      </c>
    </row>
    <row r="61" spans="1:8" ht="12.75">
      <c r="A61" s="4" t="s">
        <v>30</v>
      </c>
      <c r="B61" s="4"/>
      <c r="C61" s="4" t="s">
        <v>85</v>
      </c>
      <c r="D61" s="4" t="s">
        <v>147</v>
      </c>
      <c r="E61" s="4" t="s">
        <v>177</v>
      </c>
      <c r="F61" s="4" t="s">
        <v>262</v>
      </c>
      <c r="G61" s="17">
        <v>145.26</v>
      </c>
      <c r="H61" s="30" t="s">
        <v>197</v>
      </c>
    </row>
    <row r="62" spans="1:7" ht="12.75">
      <c r="A62" s="4"/>
      <c r="B62" s="4"/>
      <c r="C62" s="4"/>
      <c r="D62" s="4"/>
      <c r="E62" s="4"/>
      <c r="F62" s="4" t="s">
        <v>263</v>
      </c>
      <c r="G62" s="17">
        <v>31.94</v>
      </c>
    </row>
    <row r="63" spans="1:8" ht="12.75">
      <c r="A63" s="4" t="s">
        <v>31</v>
      </c>
      <c r="B63" s="4"/>
      <c r="C63" s="4" t="s">
        <v>87</v>
      </c>
      <c r="D63" s="4" t="s">
        <v>149</v>
      </c>
      <c r="E63" s="4" t="s">
        <v>177</v>
      </c>
      <c r="F63" s="4" t="s">
        <v>264</v>
      </c>
      <c r="G63" s="17">
        <v>8.25</v>
      </c>
      <c r="H63" s="30" t="s">
        <v>197</v>
      </c>
    </row>
    <row r="64" spans="1:8" ht="12.75">
      <c r="A64" s="4" t="s">
        <v>32</v>
      </c>
      <c r="B64" s="4"/>
      <c r="C64" s="4" t="s">
        <v>88</v>
      </c>
      <c r="D64" s="4" t="s">
        <v>150</v>
      </c>
      <c r="E64" s="4" t="s">
        <v>177</v>
      </c>
      <c r="F64" s="4" t="s">
        <v>265</v>
      </c>
      <c r="G64" s="17">
        <v>148.48</v>
      </c>
      <c r="H64" s="30" t="s">
        <v>197</v>
      </c>
    </row>
    <row r="65" spans="1:7" ht="12.75">
      <c r="A65" s="4"/>
      <c r="B65" s="4"/>
      <c r="C65" s="4"/>
      <c r="D65" s="4"/>
      <c r="E65" s="4"/>
      <c r="F65" s="4" t="s">
        <v>266</v>
      </c>
      <c r="G65" s="17">
        <v>3.22</v>
      </c>
    </row>
    <row r="66" spans="1:8" ht="12.75">
      <c r="A66" s="4" t="s">
        <v>33</v>
      </c>
      <c r="B66" s="4"/>
      <c r="C66" s="4" t="s">
        <v>89</v>
      </c>
      <c r="D66" s="4" t="s">
        <v>151</v>
      </c>
      <c r="E66" s="4" t="s">
        <v>176</v>
      </c>
      <c r="F66" s="4" t="s">
        <v>267</v>
      </c>
      <c r="G66" s="17">
        <v>3</v>
      </c>
      <c r="H66" s="30" t="s">
        <v>197</v>
      </c>
    </row>
    <row r="67" spans="1:7" ht="12.75">
      <c r="A67" s="4"/>
      <c r="B67" s="4"/>
      <c r="C67" s="4"/>
      <c r="D67" s="4"/>
      <c r="E67" s="4"/>
      <c r="F67" s="4" t="s">
        <v>268</v>
      </c>
      <c r="G67" s="17">
        <v>1</v>
      </c>
    </row>
    <row r="68" spans="1:8" ht="12.75">
      <c r="A68" s="4" t="s">
        <v>34</v>
      </c>
      <c r="B68" s="4"/>
      <c r="C68" s="4" t="s">
        <v>90</v>
      </c>
      <c r="D68" s="4" t="s">
        <v>152</v>
      </c>
      <c r="E68" s="4" t="s">
        <v>176</v>
      </c>
      <c r="F68" s="4" t="s">
        <v>269</v>
      </c>
      <c r="G68" s="17">
        <v>1.77</v>
      </c>
      <c r="H68" s="30" t="s">
        <v>197</v>
      </c>
    </row>
    <row r="69" spans="1:8" ht="12.75">
      <c r="A69" s="4" t="s">
        <v>35</v>
      </c>
      <c r="B69" s="4"/>
      <c r="C69" s="4" t="s">
        <v>91</v>
      </c>
      <c r="D69" s="4" t="s">
        <v>153</v>
      </c>
      <c r="E69" s="4" t="s">
        <v>176</v>
      </c>
      <c r="F69" s="4" t="s">
        <v>270</v>
      </c>
      <c r="G69" s="17">
        <v>2.96</v>
      </c>
      <c r="H69" s="30" t="s">
        <v>197</v>
      </c>
    </row>
    <row r="70" spans="1:8" ht="12.75">
      <c r="A70" s="4" t="s">
        <v>36</v>
      </c>
      <c r="B70" s="4"/>
      <c r="C70" s="4" t="s">
        <v>93</v>
      </c>
      <c r="D70" s="4" t="s">
        <v>155</v>
      </c>
      <c r="E70" s="4" t="s">
        <v>177</v>
      </c>
      <c r="F70" s="4" t="s">
        <v>271</v>
      </c>
      <c r="G70" s="17">
        <v>157.23</v>
      </c>
      <c r="H70" s="30" t="s">
        <v>197</v>
      </c>
    </row>
    <row r="71" spans="1:7" ht="12.75">
      <c r="A71" s="4"/>
      <c r="B71" s="4"/>
      <c r="C71" s="4"/>
      <c r="D71" s="4"/>
      <c r="E71" s="4"/>
      <c r="F71" s="4" t="s">
        <v>272</v>
      </c>
      <c r="G71" s="17">
        <v>0</v>
      </c>
    </row>
    <row r="72" spans="1:7" ht="12.75">
      <c r="A72" s="4"/>
      <c r="B72" s="4"/>
      <c r="C72" s="4"/>
      <c r="D72" s="4"/>
      <c r="E72" s="4"/>
      <c r="F72" s="4" t="s">
        <v>273</v>
      </c>
      <c r="G72" s="17">
        <v>53.91</v>
      </c>
    </row>
    <row r="73" spans="1:7" ht="12.75">
      <c r="A73" s="4"/>
      <c r="B73" s="4"/>
      <c r="C73" s="4"/>
      <c r="D73" s="4"/>
      <c r="E73" s="4"/>
      <c r="F73" s="4" t="s">
        <v>274</v>
      </c>
      <c r="G73" s="17">
        <v>1.8</v>
      </c>
    </row>
    <row r="74" spans="1:7" ht="12.75">
      <c r="A74" s="4"/>
      <c r="B74" s="4"/>
      <c r="C74" s="4"/>
      <c r="D74" s="4"/>
      <c r="E74" s="4"/>
      <c r="F74" s="4" t="s">
        <v>275</v>
      </c>
      <c r="G74" s="17">
        <v>57.32</v>
      </c>
    </row>
    <row r="75" spans="1:7" ht="12.75">
      <c r="A75" s="4"/>
      <c r="B75" s="4"/>
      <c r="C75" s="4"/>
      <c r="D75" s="4"/>
      <c r="E75" s="4"/>
      <c r="F75" s="4" t="s">
        <v>276</v>
      </c>
      <c r="G75" s="17">
        <v>-3.92</v>
      </c>
    </row>
    <row r="76" spans="1:7" ht="12.75">
      <c r="A76" s="4"/>
      <c r="B76" s="4"/>
      <c r="C76" s="4"/>
      <c r="D76" s="4"/>
      <c r="E76" s="4"/>
      <c r="F76" s="4" t="s">
        <v>277</v>
      </c>
      <c r="G76" s="17">
        <v>15.7</v>
      </c>
    </row>
    <row r="77" spans="1:7" ht="12.75">
      <c r="A77" s="4"/>
      <c r="B77" s="4"/>
      <c r="C77" s="4"/>
      <c r="D77" s="4"/>
      <c r="E77" s="4"/>
      <c r="F77" s="4" t="s">
        <v>278</v>
      </c>
      <c r="G77" s="17">
        <v>12.1</v>
      </c>
    </row>
    <row r="78" spans="1:7" ht="12.75">
      <c r="A78" s="4"/>
      <c r="B78" s="4"/>
      <c r="C78" s="4"/>
      <c r="D78" s="4"/>
      <c r="E78" s="4"/>
      <c r="F78" s="4" t="s">
        <v>279</v>
      </c>
      <c r="G78" s="17">
        <v>0</v>
      </c>
    </row>
    <row r="79" spans="1:8" ht="12.75">
      <c r="A79" s="4" t="s">
        <v>37</v>
      </c>
      <c r="B79" s="4"/>
      <c r="C79" s="4" t="s">
        <v>95</v>
      </c>
      <c r="D79" s="4" t="s">
        <v>157</v>
      </c>
      <c r="E79" s="4" t="s">
        <v>175</v>
      </c>
      <c r="F79" s="4"/>
      <c r="G79" s="17">
        <v>27.11298</v>
      </c>
      <c r="H79" s="30" t="s">
        <v>197</v>
      </c>
    </row>
    <row r="80" spans="1:8" ht="12.75">
      <c r="A80" s="4" t="s">
        <v>38</v>
      </c>
      <c r="B80" s="4"/>
      <c r="C80" s="4" t="s">
        <v>97</v>
      </c>
      <c r="D80" s="4" t="s">
        <v>159</v>
      </c>
      <c r="E80" s="4" t="s">
        <v>175</v>
      </c>
      <c r="F80" s="4"/>
      <c r="G80" s="17">
        <v>22.57304</v>
      </c>
      <c r="H80" s="30" t="s">
        <v>197</v>
      </c>
    </row>
    <row r="81" spans="1:8" ht="12.75">
      <c r="A81" s="4" t="s">
        <v>39</v>
      </c>
      <c r="B81" s="4"/>
      <c r="C81" s="4" t="s">
        <v>98</v>
      </c>
      <c r="D81" s="4" t="s">
        <v>160</v>
      </c>
      <c r="E81" s="4" t="s">
        <v>175</v>
      </c>
      <c r="F81" s="4"/>
      <c r="G81" s="17">
        <v>22.57304</v>
      </c>
      <c r="H81" s="30" t="s">
        <v>197</v>
      </c>
    </row>
    <row r="82" spans="1:8" ht="12.75">
      <c r="A82" s="4" t="s">
        <v>40</v>
      </c>
      <c r="B82" s="4"/>
      <c r="C82" s="4" t="s">
        <v>99</v>
      </c>
      <c r="D82" s="4" t="s">
        <v>161</v>
      </c>
      <c r="E82" s="4" t="s">
        <v>175</v>
      </c>
      <c r="F82" s="4"/>
      <c r="G82" s="17">
        <v>22.57304</v>
      </c>
      <c r="H82" s="30" t="s">
        <v>197</v>
      </c>
    </row>
    <row r="83" spans="1:8" ht="12.75">
      <c r="A83" s="4" t="s">
        <v>41</v>
      </c>
      <c r="B83" s="4"/>
      <c r="C83" s="4" t="s">
        <v>100</v>
      </c>
      <c r="D83" s="4" t="s">
        <v>162</v>
      </c>
      <c r="E83" s="4" t="s">
        <v>175</v>
      </c>
      <c r="F83" s="4" t="s">
        <v>280</v>
      </c>
      <c r="G83" s="17">
        <v>316.02</v>
      </c>
      <c r="H83" s="30" t="s">
        <v>197</v>
      </c>
    </row>
    <row r="84" spans="1:8" ht="12.75">
      <c r="A84" s="4" t="s">
        <v>42</v>
      </c>
      <c r="B84" s="4"/>
      <c r="C84" s="4" t="s">
        <v>101</v>
      </c>
      <c r="D84" s="4" t="s">
        <v>163</v>
      </c>
      <c r="E84" s="4" t="s">
        <v>175</v>
      </c>
      <c r="F84" s="4"/>
      <c r="G84" s="17">
        <v>22.57304</v>
      </c>
      <c r="H84" s="30" t="s">
        <v>198</v>
      </c>
    </row>
    <row r="85" spans="1:8" ht="12.75">
      <c r="A85" s="6" t="s">
        <v>43</v>
      </c>
      <c r="B85" s="6"/>
      <c r="C85" s="6" t="s">
        <v>102</v>
      </c>
      <c r="D85" s="6" t="s">
        <v>165</v>
      </c>
      <c r="E85" s="6" t="s">
        <v>177</v>
      </c>
      <c r="F85" s="6" t="s">
        <v>281</v>
      </c>
      <c r="G85" s="18">
        <v>163.34</v>
      </c>
      <c r="H85" s="31"/>
    </row>
    <row r="86" spans="1:7" ht="12.75">
      <c r="A86" s="6"/>
      <c r="B86" s="6"/>
      <c r="C86" s="6"/>
      <c r="D86" s="6"/>
      <c r="E86" s="6"/>
      <c r="F86" s="6" t="s">
        <v>282</v>
      </c>
      <c r="G86" s="18">
        <v>48.44</v>
      </c>
    </row>
    <row r="87" spans="1:8" ht="12.75">
      <c r="A87" s="6" t="s">
        <v>44</v>
      </c>
      <c r="B87" s="6"/>
      <c r="C87" s="6" t="s">
        <v>103</v>
      </c>
      <c r="D87" s="6" t="s">
        <v>166</v>
      </c>
      <c r="E87" s="6" t="s">
        <v>177</v>
      </c>
      <c r="F87" s="6" t="s">
        <v>283</v>
      </c>
      <c r="G87" s="18">
        <v>102.91</v>
      </c>
      <c r="H87" s="31"/>
    </row>
    <row r="88" spans="1:8" ht="12.75">
      <c r="A88" s="6" t="s">
        <v>45</v>
      </c>
      <c r="B88" s="6"/>
      <c r="C88" s="6" t="s">
        <v>103</v>
      </c>
      <c r="D88" s="6" t="s">
        <v>167</v>
      </c>
      <c r="E88" s="6" t="s">
        <v>177</v>
      </c>
      <c r="F88" s="6" t="s">
        <v>284</v>
      </c>
      <c r="G88" s="18">
        <v>13.81</v>
      </c>
      <c r="H88" s="31"/>
    </row>
    <row r="89" spans="1:7" ht="12.75">
      <c r="A89" s="6"/>
      <c r="B89" s="6"/>
      <c r="C89" s="6"/>
      <c r="D89" s="6"/>
      <c r="E89" s="6"/>
      <c r="F89" s="6" t="s">
        <v>285</v>
      </c>
      <c r="G89" s="18">
        <v>0</v>
      </c>
    </row>
    <row r="90" spans="1:8" ht="12.75">
      <c r="A90" s="6" t="s">
        <v>46</v>
      </c>
      <c r="B90" s="6"/>
      <c r="C90" s="6" t="s">
        <v>104</v>
      </c>
      <c r="D90" s="6" t="s">
        <v>168</v>
      </c>
      <c r="E90" s="6" t="s">
        <v>177</v>
      </c>
      <c r="F90" s="6" t="s">
        <v>286</v>
      </c>
      <c r="G90" s="18">
        <v>4.54</v>
      </c>
      <c r="H90" s="31"/>
    </row>
    <row r="91" spans="1:7" ht="12.75">
      <c r="A91" s="6"/>
      <c r="B91" s="6"/>
      <c r="C91" s="6"/>
      <c r="D91" s="6"/>
      <c r="E91" s="6"/>
      <c r="F91" s="6" t="s">
        <v>287</v>
      </c>
      <c r="G91" s="18">
        <v>2.96</v>
      </c>
    </row>
  </sheetData>
  <sheetProtection/>
  <mergeCells count="17"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21.75" customHeight="1">
      <c r="A1" s="80" t="s">
        <v>289</v>
      </c>
      <c r="B1" s="81"/>
      <c r="C1" s="81"/>
      <c r="D1" s="81"/>
      <c r="E1" s="81"/>
      <c r="F1" s="81"/>
      <c r="G1" s="81"/>
      <c r="H1" s="81"/>
    </row>
    <row r="2" spans="1:9" ht="12.75">
      <c r="A2" s="82" t="s">
        <v>1</v>
      </c>
      <c r="B2" s="86" t="s">
        <v>105</v>
      </c>
      <c r="C2" s="88" t="s">
        <v>169</v>
      </c>
      <c r="D2" s="88"/>
      <c r="E2" s="83"/>
      <c r="F2" s="89" t="s">
        <v>184</v>
      </c>
      <c r="G2" s="89" t="s">
        <v>189</v>
      </c>
      <c r="H2" s="90"/>
      <c r="I2" s="33"/>
    </row>
    <row r="3" spans="1:9" ht="12.75">
      <c r="A3" s="84"/>
      <c r="B3" s="87"/>
      <c r="C3" s="85"/>
      <c r="D3" s="85"/>
      <c r="E3" s="85"/>
      <c r="F3" s="85"/>
      <c r="G3" s="85"/>
      <c r="H3" s="91"/>
      <c r="I3" s="33"/>
    </row>
    <row r="4" spans="1:9" ht="12.75">
      <c r="A4" s="92" t="s">
        <v>2</v>
      </c>
      <c r="B4" s="93" t="s">
        <v>106</v>
      </c>
      <c r="C4" s="94" t="s">
        <v>170</v>
      </c>
      <c r="D4" s="94" t="s">
        <v>6</v>
      </c>
      <c r="E4" s="85"/>
      <c r="F4" s="93" t="s">
        <v>185</v>
      </c>
      <c r="G4" s="93" t="s">
        <v>190</v>
      </c>
      <c r="H4" s="91"/>
      <c r="I4" s="33"/>
    </row>
    <row r="5" spans="1:9" ht="12.75">
      <c r="A5" s="84"/>
      <c r="B5" s="85"/>
      <c r="C5" s="85"/>
      <c r="D5" s="85"/>
      <c r="E5" s="85"/>
      <c r="F5" s="85"/>
      <c r="G5" s="85"/>
      <c r="H5" s="91"/>
      <c r="I5" s="33"/>
    </row>
    <row r="6" spans="1:9" ht="12.75">
      <c r="A6" s="92" t="s">
        <v>3</v>
      </c>
      <c r="B6" s="93" t="s">
        <v>107</v>
      </c>
      <c r="C6" s="94" t="s">
        <v>171</v>
      </c>
      <c r="D6" s="85"/>
      <c r="E6" s="85"/>
      <c r="F6" s="93" t="s">
        <v>186</v>
      </c>
      <c r="G6" s="93" t="s">
        <v>191</v>
      </c>
      <c r="H6" s="91"/>
      <c r="I6" s="33"/>
    </row>
    <row r="7" spans="1:9" ht="12.75">
      <c r="A7" s="84"/>
      <c r="B7" s="85"/>
      <c r="C7" s="85"/>
      <c r="D7" s="85"/>
      <c r="E7" s="85"/>
      <c r="F7" s="85"/>
      <c r="G7" s="85"/>
      <c r="H7" s="91"/>
      <c r="I7" s="33"/>
    </row>
    <row r="8" spans="1:9" ht="12.75">
      <c r="A8" s="92" t="s">
        <v>4</v>
      </c>
      <c r="B8" s="93"/>
      <c r="C8" s="94" t="s">
        <v>172</v>
      </c>
      <c r="D8" s="97">
        <v>41797</v>
      </c>
      <c r="E8" s="85"/>
      <c r="F8" s="93" t="s">
        <v>187</v>
      </c>
      <c r="G8" s="93" t="s">
        <v>192</v>
      </c>
      <c r="H8" s="91"/>
      <c r="I8" s="33"/>
    </row>
    <row r="9" spans="1:9" ht="12.75">
      <c r="A9" s="95"/>
      <c r="B9" s="96"/>
      <c r="C9" s="96"/>
      <c r="D9" s="96"/>
      <c r="E9" s="96"/>
      <c r="F9" s="96"/>
      <c r="G9" s="96"/>
      <c r="H9" s="98"/>
      <c r="I9" s="33"/>
    </row>
    <row r="10" spans="1:9" ht="12.75">
      <c r="A10" s="42" t="s">
        <v>49</v>
      </c>
      <c r="B10" s="43" t="s">
        <v>213</v>
      </c>
      <c r="C10" s="50" t="s">
        <v>290</v>
      </c>
      <c r="D10" s="50" t="s">
        <v>291</v>
      </c>
      <c r="E10" s="50" t="s">
        <v>292</v>
      </c>
      <c r="F10" s="50" t="s">
        <v>293</v>
      </c>
      <c r="G10" s="50" t="s">
        <v>294</v>
      </c>
      <c r="H10" s="53" t="s">
        <v>295</v>
      </c>
      <c r="I10" s="34"/>
    </row>
    <row r="11" spans="1:8" ht="12.75">
      <c r="A11" s="45"/>
      <c r="B11" s="45"/>
      <c r="C11" s="45"/>
      <c r="D11" s="45"/>
      <c r="E11" s="45"/>
      <c r="F11" s="45"/>
      <c r="G11" s="45"/>
      <c r="H11" s="45"/>
    </row>
  </sheetData>
  <sheetProtection/>
  <mergeCells count="25">
    <mergeCell ref="A8:A9"/>
    <mergeCell ref="B8:B9"/>
    <mergeCell ref="C8:C9"/>
    <mergeCell ref="D8:E9"/>
    <mergeCell ref="F8:F9"/>
    <mergeCell ref="G8:H9"/>
    <mergeCell ref="A6:A7"/>
    <mergeCell ref="B6:B7"/>
    <mergeCell ref="C6:C7"/>
    <mergeCell ref="D6:E7"/>
    <mergeCell ref="F6:F7"/>
    <mergeCell ref="G6:H7"/>
    <mergeCell ref="A4:A5"/>
    <mergeCell ref="B4:B5"/>
    <mergeCell ref="C4:C5"/>
    <mergeCell ref="D4:E5"/>
    <mergeCell ref="F4:F5"/>
    <mergeCell ref="G4:H5"/>
    <mergeCell ref="A1:H1"/>
    <mergeCell ref="A2:A3"/>
    <mergeCell ref="B2:B3"/>
    <mergeCell ref="C2:C3"/>
    <mergeCell ref="D2:E3"/>
    <mergeCell ref="F2:F3"/>
    <mergeCell ref="G2:H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I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108" t="s">
        <v>296</v>
      </c>
      <c r="B1" s="109"/>
      <c r="C1" s="109"/>
      <c r="D1" s="109"/>
      <c r="E1" s="109"/>
      <c r="F1" s="109"/>
      <c r="G1" s="109"/>
      <c r="H1" s="109"/>
      <c r="I1" s="109"/>
    </row>
    <row r="2" spans="1:10" ht="12.75">
      <c r="A2" s="82" t="s">
        <v>1</v>
      </c>
      <c r="B2" s="83"/>
      <c r="C2" s="86" t="s">
        <v>105</v>
      </c>
      <c r="D2" s="107"/>
      <c r="E2" s="89" t="s">
        <v>184</v>
      </c>
      <c r="F2" s="89" t="s">
        <v>189</v>
      </c>
      <c r="G2" s="83"/>
      <c r="H2" s="89" t="s">
        <v>335</v>
      </c>
      <c r="I2" s="110"/>
      <c r="J2" s="33"/>
    </row>
    <row r="3" spans="1:10" ht="12.75">
      <c r="A3" s="84"/>
      <c r="B3" s="85"/>
      <c r="C3" s="87"/>
      <c r="D3" s="87"/>
      <c r="E3" s="85"/>
      <c r="F3" s="85"/>
      <c r="G3" s="85"/>
      <c r="H3" s="85"/>
      <c r="I3" s="91"/>
      <c r="J3" s="33"/>
    </row>
    <row r="4" spans="1:10" ht="12.75">
      <c r="A4" s="92" t="s">
        <v>2</v>
      </c>
      <c r="B4" s="85"/>
      <c r="C4" s="93" t="s">
        <v>106</v>
      </c>
      <c r="D4" s="85"/>
      <c r="E4" s="93" t="s">
        <v>185</v>
      </c>
      <c r="F4" s="93" t="s">
        <v>190</v>
      </c>
      <c r="G4" s="85"/>
      <c r="H4" s="93" t="s">
        <v>335</v>
      </c>
      <c r="I4" s="111"/>
      <c r="J4" s="33"/>
    </row>
    <row r="5" spans="1:10" ht="12.75">
      <c r="A5" s="84"/>
      <c r="B5" s="85"/>
      <c r="C5" s="85"/>
      <c r="D5" s="85"/>
      <c r="E5" s="85"/>
      <c r="F5" s="85"/>
      <c r="G5" s="85"/>
      <c r="H5" s="85"/>
      <c r="I5" s="91"/>
      <c r="J5" s="33"/>
    </row>
    <row r="6" spans="1:10" ht="12.75">
      <c r="A6" s="92" t="s">
        <v>3</v>
      </c>
      <c r="B6" s="85"/>
      <c r="C6" s="93" t="s">
        <v>107</v>
      </c>
      <c r="D6" s="85"/>
      <c r="E6" s="93" t="s">
        <v>186</v>
      </c>
      <c r="F6" s="93" t="s">
        <v>191</v>
      </c>
      <c r="G6" s="85"/>
      <c r="H6" s="93" t="s">
        <v>335</v>
      </c>
      <c r="I6" s="111"/>
      <c r="J6" s="33"/>
    </row>
    <row r="7" spans="1:10" ht="12.75">
      <c r="A7" s="84"/>
      <c r="B7" s="85"/>
      <c r="C7" s="85"/>
      <c r="D7" s="85"/>
      <c r="E7" s="85"/>
      <c r="F7" s="85"/>
      <c r="G7" s="85"/>
      <c r="H7" s="85"/>
      <c r="I7" s="91"/>
      <c r="J7" s="33"/>
    </row>
    <row r="8" spans="1:10" ht="12.75">
      <c r="A8" s="92" t="s">
        <v>170</v>
      </c>
      <c r="B8" s="85"/>
      <c r="C8" s="94" t="s">
        <v>6</v>
      </c>
      <c r="D8" s="85"/>
      <c r="E8" s="93" t="s">
        <v>171</v>
      </c>
      <c r="F8" s="85"/>
      <c r="G8" s="85"/>
      <c r="H8" s="94" t="s">
        <v>336</v>
      </c>
      <c r="I8" s="111" t="s">
        <v>46</v>
      </c>
      <c r="J8" s="33"/>
    </row>
    <row r="9" spans="1:10" ht="12.75">
      <c r="A9" s="84"/>
      <c r="B9" s="85"/>
      <c r="C9" s="85"/>
      <c r="D9" s="85"/>
      <c r="E9" s="85"/>
      <c r="F9" s="85"/>
      <c r="G9" s="85"/>
      <c r="H9" s="85"/>
      <c r="I9" s="91"/>
      <c r="J9" s="33"/>
    </row>
    <row r="10" spans="1:10" ht="12.75">
      <c r="A10" s="92" t="s">
        <v>4</v>
      </c>
      <c r="B10" s="85"/>
      <c r="C10" s="93"/>
      <c r="D10" s="85"/>
      <c r="E10" s="93" t="s">
        <v>187</v>
      </c>
      <c r="F10" s="93" t="s">
        <v>192</v>
      </c>
      <c r="G10" s="85"/>
      <c r="H10" s="94" t="s">
        <v>337</v>
      </c>
      <c r="I10" s="114">
        <v>41797</v>
      </c>
      <c r="J10" s="33"/>
    </row>
    <row r="11" spans="1:10" ht="12.75">
      <c r="A11" s="112"/>
      <c r="B11" s="113"/>
      <c r="C11" s="113"/>
      <c r="D11" s="113"/>
      <c r="E11" s="113"/>
      <c r="F11" s="113"/>
      <c r="G11" s="113"/>
      <c r="H11" s="113"/>
      <c r="I11" s="115"/>
      <c r="J11" s="33"/>
    </row>
    <row r="12" spans="1:9" ht="23.25" customHeight="1">
      <c r="A12" s="116" t="s">
        <v>297</v>
      </c>
      <c r="B12" s="117"/>
      <c r="C12" s="117"/>
      <c r="D12" s="117"/>
      <c r="E12" s="117"/>
      <c r="F12" s="117"/>
      <c r="G12" s="117"/>
      <c r="H12" s="117"/>
      <c r="I12" s="117"/>
    </row>
    <row r="13" spans="1:10" ht="26.25" customHeight="1">
      <c r="A13" s="54" t="s">
        <v>298</v>
      </c>
      <c r="B13" s="118" t="s">
        <v>309</v>
      </c>
      <c r="C13" s="119"/>
      <c r="D13" s="54" t="s">
        <v>311</v>
      </c>
      <c r="E13" s="118" t="s">
        <v>320</v>
      </c>
      <c r="F13" s="119"/>
      <c r="G13" s="54" t="s">
        <v>321</v>
      </c>
      <c r="H13" s="118" t="s">
        <v>338</v>
      </c>
      <c r="I13" s="119"/>
      <c r="J13" s="33"/>
    </row>
    <row r="14" spans="1:10" ht="15" customHeight="1">
      <c r="A14" s="55" t="s">
        <v>299</v>
      </c>
      <c r="B14" s="59" t="s">
        <v>310</v>
      </c>
      <c r="C14" s="60"/>
      <c r="D14" s="120" t="s">
        <v>312</v>
      </c>
      <c r="E14" s="121"/>
      <c r="F14" s="60"/>
      <c r="G14" s="120" t="s">
        <v>322</v>
      </c>
      <c r="H14" s="121"/>
      <c r="I14" s="60"/>
      <c r="J14" s="33"/>
    </row>
    <row r="15" spans="1:10" ht="15" customHeight="1">
      <c r="A15" s="56"/>
      <c r="B15" s="59" t="s">
        <v>188</v>
      </c>
      <c r="C15" s="60"/>
      <c r="D15" s="120" t="s">
        <v>313</v>
      </c>
      <c r="E15" s="121"/>
      <c r="F15" s="60"/>
      <c r="G15" s="120" t="s">
        <v>323</v>
      </c>
      <c r="H15" s="121"/>
      <c r="I15" s="60"/>
      <c r="J15" s="33"/>
    </row>
    <row r="16" spans="1:10" ht="15" customHeight="1">
      <c r="A16" s="55" t="s">
        <v>300</v>
      </c>
      <c r="B16" s="59" t="s">
        <v>310</v>
      </c>
      <c r="C16" s="60"/>
      <c r="D16" s="120" t="s">
        <v>314</v>
      </c>
      <c r="E16" s="121"/>
      <c r="F16" s="60"/>
      <c r="G16" s="120" t="s">
        <v>324</v>
      </c>
      <c r="H16" s="121"/>
      <c r="I16" s="60"/>
      <c r="J16" s="33"/>
    </row>
    <row r="17" spans="1:10" ht="15" customHeight="1">
      <c r="A17" s="56"/>
      <c r="B17" s="59" t="s">
        <v>188</v>
      </c>
      <c r="C17" s="60"/>
      <c r="D17" s="120"/>
      <c r="E17" s="121"/>
      <c r="F17" s="64"/>
      <c r="G17" s="120" t="s">
        <v>325</v>
      </c>
      <c r="H17" s="121"/>
      <c r="I17" s="60"/>
      <c r="J17" s="33"/>
    </row>
    <row r="18" spans="1:10" ht="15" customHeight="1">
      <c r="A18" s="55" t="s">
        <v>301</v>
      </c>
      <c r="B18" s="59" t="s">
        <v>310</v>
      </c>
      <c r="C18" s="60"/>
      <c r="D18" s="120"/>
      <c r="E18" s="121"/>
      <c r="F18" s="64"/>
      <c r="G18" s="120" t="s">
        <v>326</v>
      </c>
      <c r="H18" s="121"/>
      <c r="I18" s="60"/>
      <c r="J18" s="33"/>
    </row>
    <row r="19" spans="1:10" ht="15" customHeight="1">
      <c r="A19" s="56"/>
      <c r="B19" s="59" t="s">
        <v>188</v>
      </c>
      <c r="C19" s="60"/>
      <c r="D19" s="120"/>
      <c r="E19" s="121"/>
      <c r="F19" s="64"/>
      <c r="G19" s="120" t="s">
        <v>327</v>
      </c>
      <c r="H19" s="121"/>
      <c r="I19" s="60"/>
      <c r="J19" s="33"/>
    </row>
    <row r="20" spans="1:10" ht="15" customHeight="1">
      <c r="A20" s="122" t="s">
        <v>164</v>
      </c>
      <c r="B20" s="123"/>
      <c r="C20" s="60"/>
      <c r="D20" s="120"/>
      <c r="E20" s="121"/>
      <c r="F20" s="64"/>
      <c r="G20" s="120"/>
      <c r="H20" s="121"/>
      <c r="I20" s="64"/>
      <c r="J20" s="33"/>
    </row>
    <row r="21" spans="1:10" ht="15" customHeight="1">
      <c r="A21" s="122" t="s">
        <v>302</v>
      </c>
      <c r="B21" s="123"/>
      <c r="C21" s="60"/>
      <c r="D21" s="120"/>
      <c r="E21" s="121"/>
      <c r="F21" s="64"/>
      <c r="G21" s="120"/>
      <c r="H21" s="121"/>
      <c r="I21" s="64"/>
      <c r="J21" s="33"/>
    </row>
    <row r="22" spans="1:10" ht="16.5" customHeight="1">
      <c r="A22" s="122" t="s">
        <v>303</v>
      </c>
      <c r="B22" s="123"/>
      <c r="C22" s="60"/>
      <c r="D22" s="122" t="s">
        <v>315</v>
      </c>
      <c r="E22" s="123"/>
      <c r="F22" s="60"/>
      <c r="G22" s="122" t="s">
        <v>328</v>
      </c>
      <c r="H22" s="123"/>
      <c r="I22" s="60"/>
      <c r="J22" s="33"/>
    </row>
    <row r="23" spans="1:9" ht="15" customHeight="1">
      <c r="A23" s="8"/>
      <c r="B23" s="8"/>
      <c r="C23" s="61"/>
      <c r="D23" s="122" t="s">
        <v>316</v>
      </c>
      <c r="E23" s="123"/>
      <c r="F23" s="65"/>
      <c r="G23" s="122" t="s">
        <v>329</v>
      </c>
      <c r="H23" s="123"/>
      <c r="I23" s="67"/>
    </row>
    <row r="24" spans="4:9" ht="15" customHeight="1">
      <c r="D24" s="8"/>
      <c r="E24" s="8"/>
      <c r="F24" s="66"/>
      <c r="G24" s="122" t="s">
        <v>330</v>
      </c>
      <c r="H24" s="123"/>
      <c r="I24" s="33"/>
    </row>
    <row r="25" spans="6:9" ht="15" customHeight="1">
      <c r="F25" s="66"/>
      <c r="G25" s="122" t="s">
        <v>331</v>
      </c>
      <c r="H25" s="123"/>
      <c r="I25" s="33"/>
    </row>
    <row r="26" spans="1:8" ht="12.75">
      <c r="A26" s="22"/>
      <c r="B26" s="22"/>
      <c r="C26" s="22"/>
      <c r="G26" s="8"/>
      <c r="H26" s="8"/>
    </row>
    <row r="27" spans="1:9" ht="15" customHeight="1">
      <c r="A27" s="124" t="s">
        <v>304</v>
      </c>
      <c r="B27" s="125"/>
      <c r="C27" s="62"/>
      <c r="D27" s="63"/>
      <c r="E27" s="22"/>
      <c r="F27" s="22"/>
      <c r="G27" s="22"/>
      <c r="H27" s="22"/>
      <c r="I27" s="22"/>
    </row>
    <row r="28" spans="1:10" ht="15" customHeight="1">
      <c r="A28" s="124" t="s">
        <v>305</v>
      </c>
      <c r="B28" s="125"/>
      <c r="C28" s="62"/>
      <c r="D28" s="124" t="s">
        <v>317</v>
      </c>
      <c r="E28" s="125"/>
      <c r="F28" s="62"/>
      <c r="G28" s="124" t="s">
        <v>332</v>
      </c>
      <c r="H28" s="125"/>
      <c r="I28" s="62"/>
      <c r="J28" s="33"/>
    </row>
    <row r="29" spans="1:10" ht="15" customHeight="1">
      <c r="A29" s="124" t="s">
        <v>306</v>
      </c>
      <c r="B29" s="125"/>
      <c r="C29" s="62"/>
      <c r="D29" s="124" t="s">
        <v>318</v>
      </c>
      <c r="E29" s="125"/>
      <c r="F29" s="62"/>
      <c r="G29" s="124" t="s">
        <v>333</v>
      </c>
      <c r="H29" s="125"/>
      <c r="I29" s="62"/>
      <c r="J29" s="33"/>
    </row>
    <row r="30" spans="1:9" ht="12.75">
      <c r="A30" s="57"/>
      <c r="B30" s="57"/>
      <c r="C30" s="57"/>
      <c r="D30" s="57"/>
      <c r="E30" s="57"/>
      <c r="F30" s="57"/>
      <c r="G30" s="57"/>
      <c r="H30" s="57"/>
      <c r="I30" s="57"/>
    </row>
    <row r="31" spans="1:10" ht="14.25" customHeight="1">
      <c r="A31" s="126" t="s">
        <v>307</v>
      </c>
      <c r="B31" s="127"/>
      <c r="C31" s="128"/>
      <c r="D31" s="126" t="s">
        <v>319</v>
      </c>
      <c r="E31" s="127"/>
      <c r="F31" s="128"/>
      <c r="G31" s="126" t="s">
        <v>334</v>
      </c>
      <c r="H31" s="127"/>
      <c r="I31" s="128"/>
      <c r="J31" s="34"/>
    </row>
    <row r="32" spans="1:10" ht="14.25" customHeight="1">
      <c r="A32" s="129"/>
      <c r="B32" s="130"/>
      <c r="C32" s="131"/>
      <c r="D32" s="129"/>
      <c r="E32" s="130"/>
      <c r="F32" s="131"/>
      <c r="G32" s="129"/>
      <c r="H32" s="130"/>
      <c r="I32" s="131"/>
      <c r="J32" s="34"/>
    </row>
    <row r="33" spans="1:10" ht="14.25" customHeight="1">
      <c r="A33" s="129"/>
      <c r="B33" s="130"/>
      <c r="C33" s="131"/>
      <c r="D33" s="129"/>
      <c r="E33" s="130"/>
      <c r="F33" s="131"/>
      <c r="G33" s="129"/>
      <c r="H33" s="130"/>
      <c r="I33" s="131"/>
      <c r="J33" s="34"/>
    </row>
    <row r="34" spans="1:10" ht="14.25" customHeight="1">
      <c r="A34" s="129"/>
      <c r="B34" s="130"/>
      <c r="C34" s="131"/>
      <c r="D34" s="129"/>
      <c r="E34" s="130"/>
      <c r="F34" s="131"/>
      <c r="G34" s="129"/>
      <c r="H34" s="130"/>
      <c r="I34" s="131"/>
      <c r="J34" s="34"/>
    </row>
    <row r="35" spans="1:10" ht="14.25" customHeight="1">
      <c r="A35" s="132" t="s">
        <v>308</v>
      </c>
      <c r="B35" s="133"/>
      <c r="C35" s="134"/>
      <c r="D35" s="132" t="s">
        <v>308</v>
      </c>
      <c r="E35" s="133"/>
      <c r="F35" s="134"/>
      <c r="G35" s="132" t="s">
        <v>308</v>
      </c>
      <c r="H35" s="133"/>
      <c r="I35" s="134"/>
      <c r="J35" s="34"/>
    </row>
    <row r="36" spans="1:9" ht="11.25" customHeight="1">
      <c r="A36" s="58" t="s">
        <v>47</v>
      </c>
      <c r="B36" s="45"/>
      <c r="C36" s="45"/>
      <c r="D36" s="45"/>
      <c r="E36" s="45"/>
      <c r="F36" s="45"/>
      <c r="G36" s="45"/>
      <c r="H36" s="45"/>
      <c r="I36" s="45"/>
    </row>
    <row r="37" spans="1:9" ht="409.5" customHeight="1" hidden="1">
      <c r="A37" s="93"/>
      <c r="B37" s="85"/>
      <c r="C37" s="85"/>
      <c r="D37" s="85"/>
      <c r="E37" s="85"/>
      <c r="F37" s="85"/>
      <c r="G37" s="85"/>
      <c r="H37" s="85"/>
      <c r="I37" s="85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4" sqref="G14"/>
    </sheetView>
  </sheetViews>
  <sheetFormatPr defaultColWidth="9.140625" defaultRowHeight="12.75"/>
  <sheetData>
    <row r="1" spans="1:5" ht="15.75">
      <c r="A1" s="68" t="s">
        <v>339</v>
      </c>
      <c r="B1" s="69"/>
      <c r="C1" s="69"/>
      <c r="D1" s="69"/>
      <c r="E1" s="70"/>
    </row>
    <row r="5" spans="1:7" ht="12.75">
      <c r="A5" s="71" t="s">
        <v>340</v>
      </c>
      <c r="B5" s="72"/>
      <c r="C5" s="72"/>
      <c r="D5" s="72"/>
      <c r="E5" s="72"/>
      <c r="F5" s="72"/>
      <c r="G5" s="73" t="s">
        <v>341</v>
      </c>
    </row>
    <row r="6" spans="1:7" ht="12.75">
      <c r="A6" s="74"/>
      <c r="B6" s="72"/>
      <c r="C6" s="72"/>
      <c r="D6" s="72"/>
      <c r="E6" s="72"/>
      <c r="F6" s="72"/>
      <c r="G6" s="75"/>
    </row>
    <row r="7" spans="1:7" ht="12.75">
      <c r="A7" s="71" t="s">
        <v>342</v>
      </c>
      <c r="B7" s="72"/>
      <c r="C7" s="72"/>
      <c r="D7" s="72"/>
      <c r="E7" s="72"/>
      <c r="F7" s="72"/>
      <c r="G7" s="76"/>
    </row>
    <row r="8" spans="1:7" ht="12.75">
      <c r="A8" s="71" t="s">
        <v>343</v>
      </c>
      <c r="B8" s="72"/>
      <c r="C8" s="72"/>
      <c r="D8" s="72"/>
      <c r="E8" s="72"/>
      <c r="F8" s="72"/>
      <c r="G8" s="76"/>
    </row>
    <row r="9" spans="1:7" ht="12.75">
      <c r="A9" s="71" t="s">
        <v>344</v>
      </c>
      <c r="B9" s="72"/>
      <c r="C9" s="72"/>
      <c r="D9" s="72"/>
      <c r="E9" s="72"/>
      <c r="F9" s="72"/>
      <c r="G9" s="76"/>
    </row>
    <row r="10" spans="1:7" ht="12.75">
      <c r="A10" s="71" t="s">
        <v>345</v>
      </c>
      <c r="B10" s="72"/>
      <c r="C10" s="72"/>
      <c r="D10" s="72"/>
      <c r="E10" s="72"/>
      <c r="F10" s="72"/>
      <c r="G10" s="76"/>
    </row>
    <row r="11" spans="1:7" ht="12.75">
      <c r="A11" s="71" t="s">
        <v>346</v>
      </c>
      <c r="B11" s="72"/>
      <c r="C11" s="72"/>
      <c r="D11" s="72"/>
      <c r="E11" s="72"/>
      <c r="F11" s="72"/>
      <c r="G11" s="76"/>
    </row>
    <row r="14" spans="1:7" ht="12.75">
      <c r="A14" s="77" t="s">
        <v>347</v>
      </c>
      <c r="B14" s="78"/>
      <c r="C14" s="78"/>
      <c r="D14" s="78"/>
      <c r="E14" s="78"/>
      <c r="F14" s="78"/>
      <c r="G14" s="7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Markéta Kolodziejová</cp:lastModifiedBy>
  <dcterms:created xsi:type="dcterms:W3CDTF">2014-06-07T13:43:41Z</dcterms:created>
  <dcterms:modified xsi:type="dcterms:W3CDTF">2014-06-30T10:52:05Z</dcterms:modified>
  <cp:category/>
  <cp:version/>
  <cp:contentType/>
  <cp:contentStatus/>
</cp:coreProperties>
</file>