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Stavební rozpočet" sheetId="1" r:id="rId1"/>
    <sheet name="Krycí list rozpočtu" sheetId="2" r:id="rId2"/>
    <sheet name="VORN" sheetId="3" state="hidden" r:id="rId3"/>
  </sheets>
  <definedNames>
    <definedName name="vorn_sum">VORN!$I$36</definedName>
  </definedNames>
  <calcPr calcId="125725"/>
</workbook>
</file>

<file path=xl/calcChain.xml><?xml version="1.0" encoding="utf-8"?>
<calcChain xmlns="http://schemas.openxmlformats.org/spreadsheetml/2006/main">
  <c r="I36" i="3"/>
  <c r="I35"/>
  <c r="I27"/>
  <c r="I26"/>
  <c r="I25"/>
  <c r="I24"/>
  <c r="I23"/>
  <c r="I22"/>
  <c r="I15" i="2" s="1"/>
  <c r="I21" i="3"/>
  <c r="I14" i="2" s="1"/>
  <c r="I17" i="3"/>
  <c r="F16" i="2" s="1"/>
  <c r="I16" i="3"/>
  <c r="I18" s="1"/>
  <c r="F29" s="1"/>
  <c r="I15"/>
  <c r="I10"/>
  <c r="F10"/>
  <c r="C10"/>
  <c r="F8"/>
  <c r="C8"/>
  <c r="F6"/>
  <c r="C6"/>
  <c r="F4"/>
  <c r="C4"/>
  <c r="F2"/>
  <c r="C2"/>
  <c r="I24" i="2"/>
  <c r="I19"/>
  <c r="I18"/>
  <c r="I17"/>
  <c r="I16"/>
  <c r="F15"/>
  <c r="F14"/>
  <c r="I10"/>
  <c r="F10"/>
  <c r="C10"/>
  <c r="F8"/>
  <c r="C8"/>
  <c r="F6"/>
  <c r="C6"/>
  <c r="F4"/>
  <c r="C4"/>
  <c r="F2"/>
  <c r="C2"/>
  <c r="BJ215" i="1"/>
  <c r="Z215" s="1"/>
  <c r="BF215"/>
  <c r="BD215"/>
  <c r="AW215"/>
  <c r="AP215"/>
  <c r="AX215" s="1"/>
  <c r="AO215"/>
  <c r="BH215" s="1"/>
  <c r="AK215"/>
  <c r="AJ215"/>
  <c r="AH215"/>
  <c r="AG215"/>
  <c r="AF215"/>
  <c r="AE215"/>
  <c r="AD215"/>
  <c r="AC215"/>
  <c r="AB215"/>
  <c r="J215"/>
  <c r="AL215" s="1"/>
  <c r="I215"/>
  <c r="H215"/>
  <c r="BJ213"/>
  <c r="Z213" s="1"/>
  <c r="BF213"/>
  <c r="BD213"/>
  <c r="AX213"/>
  <c r="AW213"/>
  <c r="BC213" s="1"/>
  <c r="AP213"/>
  <c r="BI213" s="1"/>
  <c r="AO213"/>
  <c r="BH213" s="1"/>
  <c r="AK213"/>
  <c r="AJ213"/>
  <c r="AH213"/>
  <c r="AG213"/>
  <c r="AF213"/>
  <c r="AE213"/>
  <c r="AD213"/>
  <c r="AC213"/>
  <c r="AB213"/>
  <c r="J213"/>
  <c r="AL213" s="1"/>
  <c r="I213"/>
  <c r="H213"/>
  <c r="BJ211"/>
  <c r="BF211"/>
  <c r="BD211"/>
  <c r="BC211"/>
  <c r="AX211"/>
  <c r="AV211" s="1"/>
  <c r="AW211"/>
  <c r="AP211"/>
  <c r="BI211" s="1"/>
  <c r="AO211"/>
  <c r="BH211" s="1"/>
  <c r="AK211"/>
  <c r="AJ211"/>
  <c r="AH211"/>
  <c r="AG211"/>
  <c r="AF211"/>
  <c r="AE211"/>
  <c r="AD211"/>
  <c r="AC211"/>
  <c r="AB211"/>
  <c r="Z211"/>
  <c r="J211"/>
  <c r="AL211" s="1"/>
  <c r="I211"/>
  <c r="H211"/>
  <c r="BJ209"/>
  <c r="BF209"/>
  <c r="BD209"/>
  <c r="BC209"/>
  <c r="AX209"/>
  <c r="AW209"/>
  <c r="AV209" s="1"/>
  <c r="AP209"/>
  <c r="BI209" s="1"/>
  <c r="AO209"/>
  <c r="BH209" s="1"/>
  <c r="AK209"/>
  <c r="AJ209"/>
  <c r="AH209"/>
  <c r="AG209"/>
  <c r="AF209"/>
  <c r="AE209"/>
  <c r="AD209"/>
  <c r="AC209"/>
  <c r="AB209"/>
  <c r="Z209"/>
  <c r="J209"/>
  <c r="AL209" s="1"/>
  <c r="I209"/>
  <c r="BJ207"/>
  <c r="BF207"/>
  <c r="BD207"/>
  <c r="AX207"/>
  <c r="AP207"/>
  <c r="BI207" s="1"/>
  <c r="AO207"/>
  <c r="BH207" s="1"/>
  <c r="AL207"/>
  <c r="AK207"/>
  <c r="AJ207"/>
  <c r="AH207"/>
  <c r="AG207"/>
  <c r="AF207"/>
  <c r="AE207"/>
  <c r="AD207"/>
  <c r="AC207"/>
  <c r="AB207"/>
  <c r="Z207"/>
  <c r="J207"/>
  <c r="BJ205"/>
  <c r="BF205"/>
  <c r="BD205"/>
  <c r="AP205"/>
  <c r="BI205" s="1"/>
  <c r="AO205"/>
  <c r="H205" s="1"/>
  <c r="AL205"/>
  <c r="AK205"/>
  <c r="AJ205"/>
  <c r="AH205"/>
  <c r="AG205"/>
  <c r="AF205"/>
  <c r="AE205"/>
  <c r="AD205"/>
  <c r="AC205"/>
  <c r="AB205"/>
  <c r="Z205"/>
  <c r="J205"/>
  <c r="BJ203"/>
  <c r="Z203" s="1"/>
  <c r="BF203"/>
  <c r="BD203"/>
  <c r="AP203"/>
  <c r="I203" s="1"/>
  <c r="AO203"/>
  <c r="H203" s="1"/>
  <c r="AL203"/>
  <c r="AK203"/>
  <c r="AJ203"/>
  <c r="AH203"/>
  <c r="AG203"/>
  <c r="AF203"/>
  <c r="AE203"/>
  <c r="AD203"/>
  <c r="AC203"/>
  <c r="AB203"/>
  <c r="J203"/>
  <c r="BJ201"/>
  <c r="Z201" s="1"/>
  <c r="BF201"/>
  <c r="BD201"/>
  <c r="AP201"/>
  <c r="I201" s="1"/>
  <c r="AO201"/>
  <c r="AW201" s="1"/>
  <c r="AL201"/>
  <c r="AK201"/>
  <c r="AJ201"/>
  <c r="AH201"/>
  <c r="AG201"/>
  <c r="AF201"/>
  <c r="AE201"/>
  <c r="AD201"/>
  <c r="AC201"/>
  <c r="AB201"/>
  <c r="J201"/>
  <c r="H201"/>
  <c r="BJ199"/>
  <c r="Z199" s="1"/>
  <c r="BF199"/>
  <c r="BD199"/>
  <c r="AW199"/>
  <c r="AV199" s="1"/>
  <c r="AP199"/>
  <c r="AX199" s="1"/>
  <c r="AO199"/>
  <c r="BH199" s="1"/>
  <c r="AK199"/>
  <c r="AJ199"/>
  <c r="AH199"/>
  <c r="AG199"/>
  <c r="AF199"/>
  <c r="AE199"/>
  <c r="AD199"/>
  <c r="AC199"/>
  <c r="AB199"/>
  <c r="J199"/>
  <c r="AL199" s="1"/>
  <c r="I199"/>
  <c r="H199"/>
  <c r="BJ197"/>
  <c r="Z197" s="1"/>
  <c r="BF197"/>
  <c r="BD197"/>
  <c r="AX197"/>
  <c r="AW197"/>
  <c r="BC197" s="1"/>
  <c r="AP197"/>
  <c r="BI197" s="1"/>
  <c r="AO197"/>
  <c r="BH197" s="1"/>
  <c r="AK197"/>
  <c r="AJ197"/>
  <c r="AH197"/>
  <c r="AG197"/>
  <c r="AF197"/>
  <c r="AE197"/>
  <c r="AD197"/>
  <c r="AC197"/>
  <c r="AB197"/>
  <c r="J197"/>
  <c r="AL197" s="1"/>
  <c r="I197"/>
  <c r="H197"/>
  <c r="BJ195"/>
  <c r="BF195"/>
  <c r="BD195"/>
  <c r="BC195"/>
  <c r="AX195"/>
  <c r="AV195" s="1"/>
  <c r="AW195"/>
  <c r="AP195"/>
  <c r="BI195" s="1"/>
  <c r="AO195"/>
  <c r="BH195" s="1"/>
  <c r="AK195"/>
  <c r="AJ195"/>
  <c r="AH195"/>
  <c r="AG195"/>
  <c r="AF195"/>
  <c r="AE195"/>
  <c r="AD195"/>
  <c r="AC195"/>
  <c r="AB195"/>
  <c r="Z195"/>
  <c r="J195"/>
  <c r="AL195" s="1"/>
  <c r="I195"/>
  <c r="H195"/>
  <c r="BJ193"/>
  <c r="BF193"/>
  <c r="BD193"/>
  <c r="BC193"/>
  <c r="AX193"/>
  <c r="AW193"/>
  <c r="AV193" s="1"/>
  <c r="AP193"/>
  <c r="BI193" s="1"/>
  <c r="AO193"/>
  <c r="BH193" s="1"/>
  <c r="AK193"/>
  <c r="AJ193"/>
  <c r="AH193"/>
  <c r="AG193"/>
  <c r="AF193"/>
  <c r="AE193"/>
  <c r="AD193"/>
  <c r="AC193"/>
  <c r="AB193"/>
  <c r="Z193"/>
  <c r="J193"/>
  <c r="AL193" s="1"/>
  <c r="I193"/>
  <c r="BJ191"/>
  <c r="BF191"/>
  <c r="BD191"/>
  <c r="AX191"/>
  <c r="AP191"/>
  <c r="BI191" s="1"/>
  <c r="AO191"/>
  <c r="BH191" s="1"/>
  <c r="AL191"/>
  <c r="AK191"/>
  <c r="AT182" s="1"/>
  <c r="AJ191"/>
  <c r="AH191"/>
  <c r="AG191"/>
  <c r="AF191"/>
  <c r="AE191"/>
  <c r="AD191"/>
  <c r="AC191"/>
  <c r="AB191"/>
  <c r="Z191"/>
  <c r="J191"/>
  <c r="BJ189"/>
  <c r="BF189"/>
  <c r="BD189"/>
  <c r="AP189"/>
  <c r="BI189" s="1"/>
  <c r="AO189"/>
  <c r="H189" s="1"/>
  <c r="AL189"/>
  <c r="AK189"/>
  <c r="AJ189"/>
  <c r="AH189"/>
  <c r="AG189"/>
  <c r="AF189"/>
  <c r="AE189"/>
  <c r="AD189"/>
  <c r="AC189"/>
  <c r="AB189"/>
  <c r="Z189"/>
  <c r="J189"/>
  <c r="BJ187"/>
  <c r="Z187" s="1"/>
  <c r="BI187"/>
  <c r="BF187"/>
  <c r="BD187"/>
  <c r="AP187"/>
  <c r="I187" s="1"/>
  <c r="AO187"/>
  <c r="H187" s="1"/>
  <c r="AL187"/>
  <c r="AK187"/>
  <c r="AJ187"/>
  <c r="AH187"/>
  <c r="AG187"/>
  <c r="AF187"/>
  <c r="AE187"/>
  <c r="AD187"/>
  <c r="AC187"/>
  <c r="AB187"/>
  <c r="J187"/>
  <c r="BJ185"/>
  <c r="Z185" s="1"/>
  <c r="BF185"/>
  <c r="BD185"/>
  <c r="AP185"/>
  <c r="I185" s="1"/>
  <c r="AO185"/>
  <c r="AW185" s="1"/>
  <c r="AL185"/>
  <c r="AK185"/>
  <c r="AJ185"/>
  <c r="AH185"/>
  <c r="AG185"/>
  <c r="AF185"/>
  <c r="AE185"/>
  <c r="AD185"/>
  <c r="AC185"/>
  <c r="AB185"/>
  <c r="J185"/>
  <c r="H185"/>
  <c r="BJ183"/>
  <c r="Z183" s="1"/>
  <c r="BF183"/>
  <c r="BD183"/>
  <c r="AW183"/>
  <c r="AV183" s="1"/>
  <c r="AP183"/>
  <c r="AX183" s="1"/>
  <c r="AO183"/>
  <c r="BH183" s="1"/>
  <c r="AK183"/>
  <c r="AJ183"/>
  <c r="AS182" s="1"/>
  <c r="AH183"/>
  <c r="AG183"/>
  <c r="AF183"/>
  <c r="AE183"/>
  <c r="AD183"/>
  <c r="AC183"/>
  <c r="AB183"/>
  <c r="J183"/>
  <c r="J182" s="1"/>
  <c r="I183"/>
  <c r="H183"/>
  <c r="BJ180"/>
  <c r="BF180"/>
  <c r="BD180"/>
  <c r="AP180"/>
  <c r="I180" s="1"/>
  <c r="AO180"/>
  <c r="AW180" s="1"/>
  <c r="AL180"/>
  <c r="AK180"/>
  <c r="AJ180"/>
  <c r="AS174" s="1"/>
  <c r="AH180"/>
  <c r="AG180"/>
  <c r="AF180"/>
  <c r="AE180"/>
  <c r="AD180"/>
  <c r="Z180"/>
  <c r="J180"/>
  <c r="H180"/>
  <c r="BJ175"/>
  <c r="BF175"/>
  <c r="BD175"/>
  <c r="AW175"/>
  <c r="AP175"/>
  <c r="AX175" s="1"/>
  <c r="AO175"/>
  <c r="BH175" s="1"/>
  <c r="AB175" s="1"/>
  <c r="AK175"/>
  <c r="AJ175"/>
  <c r="AH175"/>
  <c r="AG175"/>
  <c r="AF175"/>
  <c r="AE175"/>
  <c r="AD175"/>
  <c r="Z175"/>
  <c r="J175"/>
  <c r="J174" s="1"/>
  <c r="I175"/>
  <c r="H175"/>
  <c r="H174" s="1"/>
  <c r="AT174"/>
  <c r="BJ172"/>
  <c r="BF172"/>
  <c r="BD172"/>
  <c r="AP172"/>
  <c r="I172" s="1"/>
  <c r="AO172"/>
  <c r="AW172" s="1"/>
  <c r="AL172"/>
  <c r="AK172"/>
  <c r="AJ172"/>
  <c r="AS169" s="1"/>
  <c r="AH172"/>
  <c r="AG172"/>
  <c r="AF172"/>
  <c r="AE172"/>
  <c r="AD172"/>
  <c r="Z172"/>
  <c r="J172"/>
  <c r="H172"/>
  <c r="BJ170"/>
  <c r="BF170"/>
  <c r="BD170"/>
  <c r="AW170"/>
  <c r="AP170"/>
  <c r="AX170" s="1"/>
  <c r="AO170"/>
  <c r="BH170" s="1"/>
  <c r="AB170" s="1"/>
  <c r="AK170"/>
  <c r="AJ170"/>
  <c r="AH170"/>
  <c r="AG170"/>
  <c r="AF170"/>
  <c r="AE170"/>
  <c r="AD170"/>
  <c r="Z170"/>
  <c r="J170"/>
  <c r="J169" s="1"/>
  <c r="I170"/>
  <c r="I169" s="1"/>
  <c r="H170"/>
  <c r="H169" s="1"/>
  <c r="AT169"/>
  <c r="BJ166"/>
  <c r="BF166"/>
  <c r="BD166"/>
  <c r="AP166"/>
  <c r="I166" s="1"/>
  <c r="AO166"/>
  <c r="AW166" s="1"/>
  <c r="AL166"/>
  <c r="AK166"/>
  <c r="AJ166"/>
  <c r="AH166"/>
  <c r="AG166"/>
  <c r="AF166"/>
  <c r="AE166"/>
  <c r="AD166"/>
  <c r="Z166"/>
  <c r="J166"/>
  <c r="H166"/>
  <c r="BJ154"/>
  <c r="BF154"/>
  <c r="BD154"/>
  <c r="AW154"/>
  <c r="AP154"/>
  <c r="AX154" s="1"/>
  <c r="AO154"/>
  <c r="BH154" s="1"/>
  <c r="AB154" s="1"/>
  <c r="AK154"/>
  <c r="AJ154"/>
  <c r="AH154"/>
  <c r="AG154"/>
  <c r="AF154"/>
  <c r="AE154"/>
  <c r="AD154"/>
  <c r="Z154"/>
  <c r="J154"/>
  <c r="AL154" s="1"/>
  <c r="I154"/>
  <c r="H154"/>
  <c r="BJ150"/>
  <c r="BF150"/>
  <c r="BD150"/>
  <c r="AX150"/>
  <c r="AW150"/>
  <c r="BC150" s="1"/>
  <c r="AP150"/>
  <c r="BI150" s="1"/>
  <c r="AC150" s="1"/>
  <c r="AO150"/>
  <c r="BH150" s="1"/>
  <c r="AB150" s="1"/>
  <c r="AK150"/>
  <c r="AJ150"/>
  <c r="AH150"/>
  <c r="AG150"/>
  <c r="AF150"/>
  <c r="AE150"/>
  <c r="AD150"/>
  <c r="Z150"/>
  <c r="J150"/>
  <c r="AL150" s="1"/>
  <c r="I150"/>
  <c r="H150"/>
  <c r="BJ148"/>
  <c r="BF148"/>
  <c r="BD148"/>
  <c r="BC148"/>
  <c r="AX148"/>
  <c r="AV148" s="1"/>
  <c r="AW148"/>
  <c r="AP148"/>
  <c r="BI148" s="1"/>
  <c r="AC148" s="1"/>
  <c r="AO148"/>
  <c r="BH148" s="1"/>
  <c r="AB148" s="1"/>
  <c r="AK148"/>
  <c r="AJ148"/>
  <c r="AH148"/>
  <c r="AG148"/>
  <c r="AF148"/>
  <c r="AE148"/>
  <c r="AD148"/>
  <c r="Z148"/>
  <c r="J148"/>
  <c r="AL148" s="1"/>
  <c r="I148"/>
  <c r="H148"/>
  <c r="BJ146"/>
  <c r="BF146"/>
  <c r="BD146"/>
  <c r="BC146"/>
  <c r="AX146"/>
  <c r="AW146"/>
  <c r="AV146" s="1"/>
  <c r="AP146"/>
  <c r="BI146" s="1"/>
  <c r="AC146" s="1"/>
  <c r="AO146"/>
  <c r="BH146" s="1"/>
  <c r="AB146" s="1"/>
  <c r="AK146"/>
  <c r="AJ146"/>
  <c r="AH146"/>
  <c r="AG146"/>
  <c r="AF146"/>
  <c r="AE146"/>
  <c r="AD146"/>
  <c r="Z146"/>
  <c r="J146"/>
  <c r="AL146" s="1"/>
  <c r="I146"/>
  <c r="H146"/>
  <c r="BJ144"/>
  <c r="BF144"/>
  <c r="BD144"/>
  <c r="AX144"/>
  <c r="AP144"/>
  <c r="BI144" s="1"/>
  <c r="AC144" s="1"/>
  <c r="AO144"/>
  <c r="BH144" s="1"/>
  <c r="AB144" s="1"/>
  <c r="AL144"/>
  <c r="AK144"/>
  <c r="AJ144"/>
  <c r="AH144"/>
  <c r="AG144"/>
  <c r="AF144"/>
  <c r="AE144"/>
  <c r="AD144"/>
  <c r="Z144"/>
  <c r="J144"/>
  <c r="I144"/>
  <c r="BJ142"/>
  <c r="BF142"/>
  <c r="BD142"/>
  <c r="AP142"/>
  <c r="BI142" s="1"/>
  <c r="AC142" s="1"/>
  <c r="AO142"/>
  <c r="BH142" s="1"/>
  <c r="AB142" s="1"/>
  <c r="AL142"/>
  <c r="AK142"/>
  <c r="AJ142"/>
  <c r="AH142"/>
  <c r="AG142"/>
  <c r="AF142"/>
  <c r="AE142"/>
  <c r="AD142"/>
  <c r="Z142"/>
  <c r="J142"/>
  <c r="BJ133"/>
  <c r="BF133"/>
  <c r="BD133"/>
  <c r="AP133"/>
  <c r="I133" s="1"/>
  <c r="AO133"/>
  <c r="H133" s="1"/>
  <c r="AL133"/>
  <c r="AK133"/>
  <c r="AJ133"/>
  <c r="AH133"/>
  <c r="AG133"/>
  <c r="AF133"/>
  <c r="AE133"/>
  <c r="AD133"/>
  <c r="Z133"/>
  <c r="J133"/>
  <c r="BJ130"/>
  <c r="BF130"/>
  <c r="BD130"/>
  <c r="AP130"/>
  <c r="I130" s="1"/>
  <c r="AO130"/>
  <c r="AW130" s="1"/>
  <c r="AL130"/>
  <c r="AK130"/>
  <c r="AJ130"/>
  <c r="AH130"/>
  <c r="AG130"/>
  <c r="AF130"/>
  <c r="AE130"/>
  <c r="AD130"/>
  <c r="Z130"/>
  <c r="J130"/>
  <c r="H130"/>
  <c r="BJ128"/>
  <c r="BF128"/>
  <c r="BD128"/>
  <c r="AW128"/>
  <c r="AP128"/>
  <c r="AX128" s="1"/>
  <c r="AO128"/>
  <c r="BH128" s="1"/>
  <c r="AB128" s="1"/>
  <c r="AK128"/>
  <c r="AJ128"/>
  <c r="AH128"/>
  <c r="AG128"/>
  <c r="AF128"/>
  <c r="AE128"/>
  <c r="AD128"/>
  <c r="Z128"/>
  <c r="J128"/>
  <c r="AL128" s="1"/>
  <c r="I128"/>
  <c r="H128"/>
  <c r="BJ122"/>
  <c r="BF122"/>
  <c r="BD122"/>
  <c r="AX122"/>
  <c r="AW122"/>
  <c r="BC122" s="1"/>
  <c r="AP122"/>
  <c r="BI122" s="1"/>
  <c r="AC122" s="1"/>
  <c r="AO122"/>
  <c r="BH122" s="1"/>
  <c r="AB122" s="1"/>
  <c r="AK122"/>
  <c r="AJ122"/>
  <c r="AH122"/>
  <c r="AG122"/>
  <c r="AF122"/>
  <c r="AE122"/>
  <c r="AD122"/>
  <c r="Z122"/>
  <c r="J122"/>
  <c r="AL122" s="1"/>
  <c r="I122"/>
  <c r="H122"/>
  <c r="BJ115"/>
  <c r="BF115"/>
  <c r="BD115"/>
  <c r="BC115"/>
  <c r="AX115"/>
  <c r="AV115" s="1"/>
  <c r="AW115"/>
  <c r="AP115"/>
  <c r="BI115" s="1"/>
  <c r="AC115" s="1"/>
  <c r="AO115"/>
  <c r="BH115" s="1"/>
  <c r="AB115" s="1"/>
  <c r="AK115"/>
  <c r="AJ115"/>
  <c r="AH115"/>
  <c r="AG115"/>
  <c r="AF115"/>
  <c r="AE115"/>
  <c r="AD115"/>
  <c r="Z115"/>
  <c r="J115"/>
  <c r="AL115" s="1"/>
  <c r="I115"/>
  <c r="H115"/>
  <c r="BJ113"/>
  <c r="BF113"/>
  <c r="BD113"/>
  <c r="BC113"/>
  <c r="AX113"/>
  <c r="AW113"/>
  <c r="AV113" s="1"/>
  <c r="AP113"/>
  <c r="BI113" s="1"/>
  <c r="AC113" s="1"/>
  <c r="AO113"/>
  <c r="BH113" s="1"/>
  <c r="AB113" s="1"/>
  <c r="AK113"/>
  <c r="AJ113"/>
  <c r="AH113"/>
  <c r="AG113"/>
  <c r="AF113"/>
  <c r="AE113"/>
  <c r="AD113"/>
  <c r="Z113"/>
  <c r="J113"/>
  <c r="AL113" s="1"/>
  <c r="I113"/>
  <c r="H113"/>
  <c r="BJ111"/>
  <c r="BF111"/>
  <c r="BD111"/>
  <c r="AX111"/>
  <c r="AP111"/>
  <c r="BI111" s="1"/>
  <c r="AC111" s="1"/>
  <c r="AO111"/>
  <c r="BH111" s="1"/>
  <c r="AB111" s="1"/>
  <c r="AL111"/>
  <c r="AK111"/>
  <c r="AJ111"/>
  <c r="AH111"/>
  <c r="AG111"/>
  <c r="AF111"/>
  <c r="AE111"/>
  <c r="AD111"/>
  <c r="Z111"/>
  <c r="J111"/>
  <c r="I111"/>
  <c r="BJ107"/>
  <c r="BF107"/>
  <c r="BD107"/>
  <c r="AP107"/>
  <c r="BI107" s="1"/>
  <c r="AC107" s="1"/>
  <c r="AO107"/>
  <c r="H107" s="1"/>
  <c r="AL107"/>
  <c r="AK107"/>
  <c r="AJ107"/>
  <c r="AH107"/>
  <c r="AG107"/>
  <c r="AF107"/>
  <c r="AE107"/>
  <c r="AD107"/>
  <c r="Z107"/>
  <c r="J107"/>
  <c r="BJ104"/>
  <c r="BF104"/>
  <c r="BD104"/>
  <c r="AP104"/>
  <c r="I104" s="1"/>
  <c r="AO104"/>
  <c r="H104" s="1"/>
  <c r="AL104"/>
  <c r="AK104"/>
  <c r="AJ104"/>
  <c r="AH104"/>
  <c r="AG104"/>
  <c r="AF104"/>
  <c r="AE104"/>
  <c r="AD104"/>
  <c r="Z104"/>
  <c r="J104"/>
  <c r="BJ102"/>
  <c r="BF102"/>
  <c r="BD102"/>
  <c r="AP102"/>
  <c r="I102" s="1"/>
  <c r="AO102"/>
  <c r="AW102" s="1"/>
  <c r="AL102"/>
  <c r="AK102"/>
  <c r="AJ102"/>
  <c r="AH102"/>
  <c r="AG102"/>
  <c r="AF102"/>
  <c r="AE102"/>
  <c r="AD102"/>
  <c r="Z102"/>
  <c r="J102"/>
  <c r="H102"/>
  <c r="BJ100"/>
  <c r="BF100"/>
  <c r="BD100"/>
  <c r="AW100"/>
  <c r="AP100"/>
  <c r="AX100" s="1"/>
  <c r="AO100"/>
  <c r="BH100" s="1"/>
  <c r="AB100" s="1"/>
  <c r="AK100"/>
  <c r="AJ100"/>
  <c r="AH100"/>
  <c r="AG100"/>
  <c r="AF100"/>
  <c r="AE100"/>
  <c r="AD100"/>
  <c r="Z100"/>
  <c r="J100"/>
  <c r="AL100" s="1"/>
  <c r="I100"/>
  <c r="H100"/>
  <c r="BJ97"/>
  <c r="BF97"/>
  <c r="BD97"/>
  <c r="AX97"/>
  <c r="AW97"/>
  <c r="BC97" s="1"/>
  <c r="AP97"/>
  <c r="BI97" s="1"/>
  <c r="AC97" s="1"/>
  <c r="AO97"/>
  <c r="BH97" s="1"/>
  <c r="AB97" s="1"/>
  <c r="AK97"/>
  <c r="AJ97"/>
  <c r="AH97"/>
  <c r="AG97"/>
  <c r="AF97"/>
  <c r="AE97"/>
  <c r="AD97"/>
  <c r="Z97"/>
  <c r="J97"/>
  <c r="AL97" s="1"/>
  <c r="I97"/>
  <c r="H97"/>
  <c r="BJ92"/>
  <c r="BF92"/>
  <c r="BD92"/>
  <c r="BC92"/>
  <c r="AX92"/>
  <c r="AV92" s="1"/>
  <c r="AW92"/>
  <c r="AP92"/>
  <c r="BI92" s="1"/>
  <c r="AC92" s="1"/>
  <c r="AO92"/>
  <c r="BH92" s="1"/>
  <c r="AB92" s="1"/>
  <c r="AK92"/>
  <c r="AJ92"/>
  <c r="AH92"/>
  <c r="AG92"/>
  <c r="AF92"/>
  <c r="AE92"/>
  <c r="AD92"/>
  <c r="Z92"/>
  <c r="J92"/>
  <c r="AL92" s="1"/>
  <c r="I92"/>
  <c r="H92"/>
  <c r="BJ90"/>
  <c r="BF90"/>
  <c r="BD90"/>
  <c r="BC90"/>
  <c r="AX90"/>
  <c r="AW90"/>
  <c r="AV90" s="1"/>
  <c r="AP90"/>
  <c r="BI90" s="1"/>
  <c r="AC90" s="1"/>
  <c r="AO90"/>
  <c r="BH90" s="1"/>
  <c r="AB90" s="1"/>
  <c r="AK90"/>
  <c r="AJ90"/>
  <c r="AH90"/>
  <c r="AG90"/>
  <c r="AF90"/>
  <c r="AE90"/>
  <c r="AD90"/>
  <c r="Z90"/>
  <c r="J90"/>
  <c r="AL90" s="1"/>
  <c r="I90"/>
  <c r="H90"/>
  <c r="BJ83"/>
  <c r="BF83"/>
  <c r="BD83"/>
  <c r="AX83"/>
  <c r="AP83"/>
  <c r="BI83" s="1"/>
  <c r="AC83" s="1"/>
  <c r="AO83"/>
  <c r="BH83" s="1"/>
  <c r="AB83" s="1"/>
  <c r="AL83"/>
  <c r="AK83"/>
  <c r="AT82" s="1"/>
  <c r="AJ83"/>
  <c r="AH83"/>
  <c r="AG83"/>
  <c r="AF83"/>
  <c r="AE83"/>
  <c r="AD83"/>
  <c r="Z83"/>
  <c r="J83"/>
  <c r="I83"/>
  <c r="AS82"/>
  <c r="BJ80"/>
  <c r="BF80"/>
  <c r="BD80"/>
  <c r="BC80"/>
  <c r="AX80"/>
  <c r="AW80"/>
  <c r="AV80" s="1"/>
  <c r="AP80"/>
  <c r="BI80" s="1"/>
  <c r="AE80" s="1"/>
  <c r="AO80"/>
  <c r="BH80" s="1"/>
  <c r="AD80" s="1"/>
  <c r="AK80"/>
  <c r="AT79" s="1"/>
  <c r="AJ80"/>
  <c r="AS79" s="1"/>
  <c r="AH80"/>
  <c r="AG80"/>
  <c r="AF80"/>
  <c r="AC80"/>
  <c r="AB80"/>
  <c r="Z80"/>
  <c r="J80"/>
  <c r="AL80" s="1"/>
  <c r="AU79" s="1"/>
  <c r="I80"/>
  <c r="H80"/>
  <c r="J79"/>
  <c r="I79"/>
  <c r="H79"/>
  <c r="BJ77"/>
  <c r="BF77"/>
  <c r="BD77"/>
  <c r="BC77"/>
  <c r="AX77"/>
  <c r="AV77" s="1"/>
  <c r="AW77"/>
  <c r="AP77"/>
  <c r="BI77" s="1"/>
  <c r="AE77" s="1"/>
  <c r="AO77"/>
  <c r="BH77" s="1"/>
  <c r="AD77" s="1"/>
  <c r="AK77"/>
  <c r="AT76" s="1"/>
  <c r="AJ77"/>
  <c r="AS76" s="1"/>
  <c r="AH77"/>
  <c r="AG77"/>
  <c r="AF77"/>
  <c r="AC77"/>
  <c r="AB77"/>
  <c r="Z77"/>
  <c r="J77"/>
  <c r="J76" s="1"/>
  <c r="I77"/>
  <c r="H77"/>
  <c r="I76"/>
  <c r="H76"/>
  <c r="BJ74"/>
  <c r="BF74"/>
  <c r="BD74"/>
  <c r="AX74"/>
  <c r="AW74"/>
  <c r="BC74" s="1"/>
  <c r="AP74"/>
  <c r="BI74" s="1"/>
  <c r="AE74" s="1"/>
  <c r="AO74"/>
  <c r="BH74" s="1"/>
  <c r="AD74" s="1"/>
  <c r="AK74"/>
  <c r="AJ74"/>
  <c r="AH74"/>
  <c r="AG74"/>
  <c r="AF74"/>
  <c r="AC74"/>
  <c r="AB74"/>
  <c r="Z74"/>
  <c r="J74"/>
  <c r="AL74" s="1"/>
  <c r="I74"/>
  <c r="H74"/>
  <c r="BJ70"/>
  <c r="BF70"/>
  <c r="BD70"/>
  <c r="BC70"/>
  <c r="AX70"/>
  <c r="AV70" s="1"/>
  <c r="AW70"/>
  <c r="AP70"/>
  <c r="BI70" s="1"/>
  <c r="AE70" s="1"/>
  <c r="AO70"/>
  <c r="BH70" s="1"/>
  <c r="AD70" s="1"/>
  <c r="AK70"/>
  <c r="AT69" s="1"/>
  <c r="AJ70"/>
  <c r="AS69" s="1"/>
  <c r="AH70"/>
  <c r="AG70"/>
  <c r="AF70"/>
  <c r="AC70"/>
  <c r="AB70"/>
  <c r="Z70"/>
  <c r="J70"/>
  <c r="J69" s="1"/>
  <c r="I70"/>
  <c r="H70"/>
  <c r="I69"/>
  <c r="H69"/>
  <c r="BJ67"/>
  <c r="BF67"/>
  <c r="BD67"/>
  <c r="AX67"/>
  <c r="AW67"/>
  <c r="BC67" s="1"/>
  <c r="AP67"/>
  <c r="BI67" s="1"/>
  <c r="AE67" s="1"/>
  <c r="AO67"/>
  <c r="BH67" s="1"/>
  <c r="AD67" s="1"/>
  <c r="AK67"/>
  <c r="AJ67"/>
  <c r="AS66" s="1"/>
  <c r="AH67"/>
  <c r="AG67"/>
  <c r="AF67"/>
  <c r="AC67"/>
  <c r="AB67"/>
  <c r="Z67"/>
  <c r="J67"/>
  <c r="J66" s="1"/>
  <c r="I67"/>
  <c r="I66" s="1"/>
  <c r="H67"/>
  <c r="AT66"/>
  <c r="H66"/>
  <c r="BJ64"/>
  <c r="BF64"/>
  <c r="BD64"/>
  <c r="AW64"/>
  <c r="BC64" s="1"/>
  <c r="AP64"/>
  <c r="AX64" s="1"/>
  <c r="AO64"/>
  <c r="BH64" s="1"/>
  <c r="AD64" s="1"/>
  <c r="AK64"/>
  <c r="AJ64"/>
  <c r="AH64"/>
  <c r="AG64"/>
  <c r="AF64"/>
  <c r="AC64"/>
  <c r="AB64"/>
  <c r="Z64"/>
  <c r="J64"/>
  <c r="AL64" s="1"/>
  <c r="I64"/>
  <c r="H64"/>
  <c r="BJ62"/>
  <c r="BF62"/>
  <c r="BD62"/>
  <c r="AX62"/>
  <c r="AW62"/>
  <c r="BC62" s="1"/>
  <c r="AP62"/>
  <c r="BI62" s="1"/>
  <c r="AE62" s="1"/>
  <c r="AO62"/>
  <c r="BH62" s="1"/>
  <c r="AD62" s="1"/>
  <c r="AK62"/>
  <c r="AJ62"/>
  <c r="AH62"/>
  <c r="AG62"/>
  <c r="AF62"/>
  <c r="AC62"/>
  <c r="AB62"/>
  <c r="Z62"/>
  <c r="J62"/>
  <c r="AL62" s="1"/>
  <c r="I62"/>
  <c r="H62"/>
  <c r="BJ60"/>
  <c r="BF60"/>
  <c r="BD60"/>
  <c r="BC60"/>
  <c r="AX60"/>
  <c r="AV60" s="1"/>
  <c r="AW60"/>
  <c r="AP60"/>
  <c r="BI60" s="1"/>
  <c r="AE60" s="1"/>
  <c r="AO60"/>
  <c r="BH60" s="1"/>
  <c r="AD60" s="1"/>
  <c r="AK60"/>
  <c r="AJ60"/>
  <c r="AH60"/>
  <c r="AG60"/>
  <c r="AF60"/>
  <c r="AC60"/>
  <c r="AB60"/>
  <c r="Z60"/>
  <c r="J60"/>
  <c r="AL60" s="1"/>
  <c r="I60"/>
  <c r="H60"/>
  <c r="BJ58"/>
  <c r="BF58"/>
  <c r="BD58"/>
  <c r="BC58"/>
  <c r="AX58"/>
  <c r="AW58"/>
  <c r="AV58" s="1"/>
  <c r="AP58"/>
  <c r="BI58" s="1"/>
  <c r="AE58" s="1"/>
  <c r="AO58"/>
  <c r="BH58" s="1"/>
  <c r="AD58" s="1"/>
  <c r="AK58"/>
  <c r="AJ58"/>
  <c r="AH58"/>
  <c r="AG58"/>
  <c r="AF58"/>
  <c r="AC58"/>
  <c r="AB58"/>
  <c r="Z58"/>
  <c r="J58"/>
  <c r="AL58" s="1"/>
  <c r="I58"/>
  <c r="H58"/>
  <c r="BJ56"/>
  <c r="BF56"/>
  <c r="BD56"/>
  <c r="AX56"/>
  <c r="AP56"/>
  <c r="BI56" s="1"/>
  <c r="AE56" s="1"/>
  <c r="AO56"/>
  <c r="BH56" s="1"/>
  <c r="AD56" s="1"/>
  <c r="AL56"/>
  <c r="AK56"/>
  <c r="AJ56"/>
  <c r="AH56"/>
  <c r="AG56"/>
  <c r="AF56"/>
  <c r="AC56"/>
  <c r="AB56"/>
  <c r="Z56"/>
  <c r="J56"/>
  <c r="I56"/>
  <c r="BJ54"/>
  <c r="BF54"/>
  <c r="BD54"/>
  <c r="AP54"/>
  <c r="BI54" s="1"/>
  <c r="AE54" s="1"/>
  <c r="AO54"/>
  <c r="H54" s="1"/>
  <c r="AL54"/>
  <c r="AK54"/>
  <c r="AJ54"/>
  <c r="AH54"/>
  <c r="AG54"/>
  <c r="AF54"/>
  <c r="AC54"/>
  <c r="AB54"/>
  <c r="Z54"/>
  <c r="J54"/>
  <c r="BJ52"/>
  <c r="BF52"/>
  <c r="BD52"/>
  <c r="AP52"/>
  <c r="I52" s="1"/>
  <c r="AO52"/>
  <c r="H52" s="1"/>
  <c r="AL52"/>
  <c r="AK52"/>
  <c r="AJ52"/>
  <c r="AH52"/>
  <c r="AG52"/>
  <c r="AF52"/>
  <c r="AC52"/>
  <c r="AB52"/>
  <c r="Z52"/>
  <c r="J52"/>
  <c r="BJ50"/>
  <c r="BF50"/>
  <c r="BD50"/>
  <c r="AP50"/>
  <c r="I50" s="1"/>
  <c r="AO50"/>
  <c r="AW50" s="1"/>
  <c r="AL50"/>
  <c r="AK50"/>
  <c r="AJ50"/>
  <c r="AH50"/>
  <c r="AG50"/>
  <c r="AF50"/>
  <c r="AC50"/>
  <c r="AB50"/>
  <c r="Z50"/>
  <c r="J50"/>
  <c r="H50"/>
  <c r="BJ48"/>
  <c r="BF48"/>
  <c r="BD48"/>
  <c r="AW48"/>
  <c r="BC48" s="1"/>
  <c r="AP48"/>
  <c r="AX48" s="1"/>
  <c r="AO48"/>
  <c r="BH48" s="1"/>
  <c r="AD48" s="1"/>
  <c r="AK48"/>
  <c r="AJ48"/>
  <c r="AH48"/>
  <c r="AG48"/>
  <c r="AF48"/>
  <c r="AC48"/>
  <c r="AB48"/>
  <c r="Z48"/>
  <c r="J48"/>
  <c r="AL48" s="1"/>
  <c r="I48"/>
  <c r="H48"/>
  <c r="BJ46"/>
  <c r="BF46"/>
  <c r="BD46"/>
  <c r="AX46"/>
  <c r="AW46"/>
  <c r="BC46" s="1"/>
  <c r="AP46"/>
  <c r="BI46" s="1"/>
  <c r="AE46" s="1"/>
  <c r="AO46"/>
  <c r="BH46" s="1"/>
  <c r="AD46" s="1"/>
  <c r="AK46"/>
  <c r="AJ46"/>
  <c r="AH46"/>
  <c r="AG46"/>
  <c r="AF46"/>
  <c r="AC46"/>
  <c r="AB46"/>
  <c r="Z46"/>
  <c r="J46"/>
  <c r="AL46" s="1"/>
  <c r="I46"/>
  <c r="H46"/>
  <c r="BJ43"/>
  <c r="BF43"/>
  <c r="BD43"/>
  <c r="BC43"/>
  <c r="AX43"/>
  <c r="AV43" s="1"/>
  <c r="AW43"/>
  <c r="AP43"/>
  <c r="BI43" s="1"/>
  <c r="AE43" s="1"/>
  <c r="AO43"/>
  <c r="BH43" s="1"/>
  <c r="AD43" s="1"/>
  <c r="AK43"/>
  <c r="AT42" s="1"/>
  <c r="AJ43"/>
  <c r="AS42" s="1"/>
  <c r="AH43"/>
  <c r="AG43"/>
  <c r="AF43"/>
  <c r="AC43"/>
  <c r="AB43"/>
  <c r="Z43"/>
  <c r="J43"/>
  <c r="J42" s="1"/>
  <c r="I43"/>
  <c r="H43"/>
  <c r="BJ40"/>
  <c r="BF40"/>
  <c r="BD40"/>
  <c r="AX40"/>
  <c r="AW40"/>
  <c r="BC40" s="1"/>
  <c r="AP40"/>
  <c r="BI40" s="1"/>
  <c r="AE40" s="1"/>
  <c r="AO40"/>
  <c r="BH40" s="1"/>
  <c r="AD40" s="1"/>
  <c r="AK40"/>
  <c r="AJ40"/>
  <c r="AS39" s="1"/>
  <c r="AH40"/>
  <c r="AG40"/>
  <c r="AF40"/>
  <c r="AC40"/>
  <c r="AB40"/>
  <c r="Z40"/>
  <c r="J40"/>
  <c r="J39" s="1"/>
  <c r="I40"/>
  <c r="I39" s="1"/>
  <c r="H40"/>
  <c r="AT39"/>
  <c r="H39"/>
  <c r="BJ37"/>
  <c r="BF37"/>
  <c r="BD37"/>
  <c r="AW37"/>
  <c r="BC37" s="1"/>
  <c r="AP37"/>
  <c r="AX37" s="1"/>
  <c r="AO37"/>
  <c r="BH37" s="1"/>
  <c r="AD37" s="1"/>
  <c r="AK37"/>
  <c r="AJ37"/>
  <c r="AH37"/>
  <c r="AG37"/>
  <c r="AF37"/>
  <c r="C18" i="2" s="1"/>
  <c r="AC37" i="1"/>
  <c r="AB37"/>
  <c r="Z37"/>
  <c r="J37"/>
  <c r="AL37" s="1"/>
  <c r="I37"/>
  <c r="H37"/>
  <c r="BJ35"/>
  <c r="BF35"/>
  <c r="BD35"/>
  <c r="AX35"/>
  <c r="AW35"/>
  <c r="BC35" s="1"/>
  <c r="AP35"/>
  <c r="BI35" s="1"/>
  <c r="AE35" s="1"/>
  <c r="AO35"/>
  <c r="BH35" s="1"/>
  <c r="AD35" s="1"/>
  <c r="AK35"/>
  <c r="AJ35"/>
  <c r="AH35"/>
  <c r="AG35"/>
  <c r="AF35"/>
  <c r="AC35"/>
  <c r="AB35"/>
  <c r="Z35"/>
  <c r="J35"/>
  <c r="AL35" s="1"/>
  <c r="I35"/>
  <c r="H35"/>
  <c r="BJ33"/>
  <c r="BF33"/>
  <c r="BD33"/>
  <c r="BC33"/>
  <c r="AX33"/>
  <c r="AV33" s="1"/>
  <c r="AW33"/>
  <c r="AP33"/>
  <c r="BI33" s="1"/>
  <c r="AE33" s="1"/>
  <c r="AO33"/>
  <c r="BH33" s="1"/>
  <c r="AD33" s="1"/>
  <c r="AK33"/>
  <c r="AT32" s="1"/>
  <c r="AJ33"/>
  <c r="AS32" s="1"/>
  <c r="AH33"/>
  <c r="AG33"/>
  <c r="AF33"/>
  <c r="AC33"/>
  <c r="AB33"/>
  <c r="Z33"/>
  <c r="J33"/>
  <c r="J32" s="1"/>
  <c r="I33"/>
  <c r="H33"/>
  <c r="I32"/>
  <c r="H32"/>
  <c r="BJ30"/>
  <c r="BF30"/>
  <c r="BD30"/>
  <c r="AX30"/>
  <c r="AW30"/>
  <c r="BC30" s="1"/>
  <c r="AP30"/>
  <c r="BI30" s="1"/>
  <c r="AE30" s="1"/>
  <c r="AO30"/>
  <c r="BH30" s="1"/>
  <c r="AD30" s="1"/>
  <c r="AK30"/>
  <c r="AJ30"/>
  <c r="AH30"/>
  <c r="AG30"/>
  <c r="AF30"/>
  <c r="AC30"/>
  <c r="AB30"/>
  <c r="Z30"/>
  <c r="J30"/>
  <c r="AL30" s="1"/>
  <c r="I30"/>
  <c r="H30"/>
  <c r="BJ28"/>
  <c r="BF28"/>
  <c r="BD28"/>
  <c r="BC28"/>
  <c r="AX28"/>
  <c r="AV28" s="1"/>
  <c r="AW28"/>
  <c r="AP28"/>
  <c r="BI28" s="1"/>
  <c r="AE28" s="1"/>
  <c r="AO28"/>
  <c r="BH28" s="1"/>
  <c r="AD28" s="1"/>
  <c r="AK28"/>
  <c r="AJ28"/>
  <c r="AH28"/>
  <c r="AG28"/>
  <c r="AF28"/>
  <c r="AC28"/>
  <c r="AB28"/>
  <c r="Z28"/>
  <c r="J28"/>
  <c r="AL28" s="1"/>
  <c r="I28"/>
  <c r="H28"/>
  <c r="H25" s="1"/>
  <c r="BJ26"/>
  <c r="BF26"/>
  <c r="BD26"/>
  <c r="BC26"/>
  <c r="AX26"/>
  <c r="AW26"/>
  <c r="AV26" s="1"/>
  <c r="AP26"/>
  <c r="BI26" s="1"/>
  <c r="AE26" s="1"/>
  <c r="AO26"/>
  <c r="BH26" s="1"/>
  <c r="AD26" s="1"/>
  <c r="AK26"/>
  <c r="AT25" s="1"/>
  <c r="AJ26"/>
  <c r="AS25" s="1"/>
  <c r="AH26"/>
  <c r="AG26"/>
  <c r="AF26"/>
  <c r="AC26"/>
  <c r="AB26"/>
  <c r="Z26"/>
  <c r="J26"/>
  <c r="AL26" s="1"/>
  <c r="I26"/>
  <c r="H26"/>
  <c r="J25"/>
  <c r="I25"/>
  <c r="BJ23"/>
  <c r="BF23"/>
  <c r="BD23"/>
  <c r="BC23"/>
  <c r="AX23"/>
  <c r="AV23" s="1"/>
  <c r="AW23"/>
  <c r="AP23"/>
  <c r="BI23" s="1"/>
  <c r="AE23" s="1"/>
  <c r="AO23"/>
  <c r="BH23" s="1"/>
  <c r="AD23" s="1"/>
  <c r="AK23"/>
  <c r="AJ23"/>
  <c r="AH23"/>
  <c r="AG23"/>
  <c r="AF23"/>
  <c r="AC23"/>
  <c r="AB23"/>
  <c r="Z23"/>
  <c r="J23"/>
  <c r="AL23" s="1"/>
  <c r="I23"/>
  <c r="H23"/>
  <c r="H20" s="1"/>
  <c r="BJ21"/>
  <c r="BF21"/>
  <c r="BD21"/>
  <c r="BC21"/>
  <c r="AX21"/>
  <c r="AW21"/>
  <c r="AV21" s="1"/>
  <c r="AP21"/>
  <c r="BI21" s="1"/>
  <c r="AE21" s="1"/>
  <c r="AO21"/>
  <c r="BH21" s="1"/>
  <c r="AD21" s="1"/>
  <c r="AK21"/>
  <c r="AT20" s="1"/>
  <c r="AJ21"/>
  <c r="AS20" s="1"/>
  <c r="AH21"/>
  <c r="AG21"/>
  <c r="AF21"/>
  <c r="AC21"/>
  <c r="AB21"/>
  <c r="Z21"/>
  <c r="J21"/>
  <c r="AL21" s="1"/>
  <c r="I21"/>
  <c r="H21"/>
  <c r="J20"/>
  <c r="I20"/>
  <c r="BJ16"/>
  <c r="BF16"/>
  <c r="BD16"/>
  <c r="BC16"/>
  <c r="AX16"/>
  <c r="AV16" s="1"/>
  <c r="AW16"/>
  <c r="AP16"/>
  <c r="BI16" s="1"/>
  <c r="AC16" s="1"/>
  <c r="AO16"/>
  <c r="BH16" s="1"/>
  <c r="AB16" s="1"/>
  <c r="AK16"/>
  <c r="AT15" s="1"/>
  <c r="AJ16"/>
  <c r="AS15" s="1"/>
  <c r="AH16"/>
  <c r="AG16"/>
  <c r="AF16"/>
  <c r="AE16"/>
  <c r="AD16"/>
  <c r="Z16"/>
  <c r="J16"/>
  <c r="J15" s="1"/>
  <c r="I16"/>
  <c r="H16"/>
  <c r="I15"/>
  <c r="H15"/>
  <c r="BJ13"/>
  <c r="BF13"/>
  <c r="BD13"/>
  <c r="AX13"/>
  <c r="AW13"/>
  <c r="BC13" s="1"/>
  <c r="AP13"/>
  <c r="BI13" s="1"/>
  <c r="AC13" s="1"/>
  <c r="AO13"/>
  <c r="BH13" s="1"/>
  <c r="AB13" s="1"/>
  <c r="AK13"/>
  <c r="C28" i="2" s="1"/>
  <c r="F28" s="1"/>
  <c r="AJ13" i="1"/>
  <c r="C27" i="2" s="1"/>
  <c r="AH13" i="1"/>
  <c r="C20" i="2" s="1"/>
  <c r="AG13" i="1"/>
  <c r="C19" i="2" s="1"/>
  <c r="AF13" i="1"/>
  <c r="AE13"/>
  <c r="AD13"/>
  <c r="Z13"/>
  <c r="J13"/>
  <c r="J12" s="1"/>
  <c r="I13"/>
  <c r="I12" s="1"/>
  <c r="H13"/>
  <c r="AT12"/>
  <c r="H12"/>
  <c r="AU1"/>
  <c r="AT1"/>
  <c r="AS1"/>
  <c r="I22" i="2" l="1"/>
  <c r="AV102" i="1"/>
  <c r="BC102"/>
  <c r="AU82"/>
  <c r="BC175"/>
  <c r="AU20"/>
  <c r="AU25"/>
  <c r="H42"/>
  <c r="BC215"/>
  <c r="J217"/>
  <c r="BC170"/>
  <c r="F22" i="2"/>
  <c r="C21"/>
  <c r="BC100" i="1"/>
  <c r="BC128"/>
  <c r="BC154"/>
  <c r="I174"/>
  <c r="AV48"/>
  <c r="AV100"/>
  <c r="AV128"/>
  <c r="AV215"/>
  <c r="AV13"/>
  <c r="AV30"/>
  <c r="AV35"/>
  <c r="BI37"/>
  <c r="AE37" s="1"/>
  <c r="C17" i="2" s="1"/>
  <c r="AV40" i="1"/>
  <c r="AV46"/>
  <c r="BI48"/>
  <c r="AE48" s="1"/>
  <c r="BH50"/>
  <c r="AD50" s="1"/>
  <c r="C16" i="2" s="1"/>
  <c r="AV62" i="1"/>
  <c r="BI64"/>
  <c r="AE64" s="1"/>
  <c r="AV67"/>
  <c r="AV74"/>
  <c r="AV97"/>
  <c r="BI100"/>
  <c r="AC100" s="1"/>
  <c r="C15" i="2" s="1"/>
  <c r="BH102" i="1"/>
  <c r="AB102" s="1"/>
  <c r="C14" i="2" s="1"/>
  <c r="AV122" i="1"/>
  <c r="BI128"/>
  <c r="AC128" s="1"/>
  <c r="BH130"/>
  <c r="AB130" s="1"/>
  <c r="AV150"/>
  <c r="BI154"/>
  <c r="AC154" s="1"/>
  <c r="BH166"/>
  <c r="AB166" s="1"/>
  <c r="BI170"/>
  <c r="AC170" s="1"/>
  <c r="BH172"/>
  <c r="AB172" s="1"/>
  <c r="BI175"/>
  <c r="AC175" s="1"/>
  <c r="BH180"/>
  <c r="AB180" s="1"/>
  <c r="BI183"/>
  <c r="BH185"/>
  <c r="AV197"/>
  <c r="BI199"/>
  <c r="BH201"/>
  <c r="AV213"/>
  <c r="BI215"/>
  <c r="BH107"/>
  <c r="AB107" s="1"/>
  <c r="BH104"/>
  <c r="AB104" s="1"/>
  <c r="BI166"/>
  <c r="AC166" s="1"/>
  <c r="AV170"/>
  <c r="AV175"/>
  <c r="BI185"/>
  <c r="BH187"/>
  <c r="AX54"/>
  <c r="AW56"/>
  <c r="AW83"/>
  <c r="AX107"/>
  <c r="AW111"/>
  <c r="AX142"/>
  <c r="AW144"/>
  <c r="AL170"/>
  <c r="AU169" s="1"/>
  <c r="AL175"/>
  <c r="AU174" s="1"/>
  <c r="AL183"/>
  <c r="AU182" s="1"/>
  <c r="AX189"/>
  <c r="I191"/>
  <c r="AW191"/>
  <c r="H193"/>
  <c r="AX205"/>
  <c r="I207"/>
  <c r="AW207"/>
  <c r="H209"/>
  <c r="BH54"/>
  <c r="AD54" s="1"/>
  <c r="BI133"/>
  <c r="AC133" s="1"/>
  <c r="BH189"/>
  <c r="AV37"/>
  <c r="BI50"/>
  <c r="AE50" s="1"/>
  <c r="AV64"/>
  <c r="J82"/>
  <c r="BI130"/>
  <c r="AC130" s="1"/>
  <c r="BH133"/>
  <c r="AB133" s="1"/>
  <c r="BH203"/>
  <c r="AS12"/>
  <c r="AL13"/>
  <c r="AU12" s="1"/>
  <c r="AL40"/>
  <c r="AU39" s="1"/>
  <c r="AX52"/>
  <c r="I54"/>
  <c r="I42" s="1"/>
  <c r="AW54"/>
  <c r="H56"/>
  <c r="AL67"/>
  <c r="AU66" s="1"/>
  <c r="H83"/>
  <c r="AX104"/>
  <c r="I107"/>
  <c r="I82" s="1"/>
  <c r="AW107"/>
  <c r="H111"/>
  <c r="AX133"/>
  <c r="I142"/>
  <c r="AW142"/>
  <c r="H144"/>
  <c r="AX187"/>
  <c r="I189"/>
  <c r="I182" s="1"/>
  <c r="AW189"/>
  <c r="H191"/>
  <c r="H182" s="1"/>
  <c r="AX203"/>
  <c r="I205"/>
  <c r="AW205"/>
  <c r="H207"/>
  <c r="BI52"/>
  <c r="AE52" s="1"/>
  <c r="BI104"/>
  <c r="AC104" s="1"/>
  <c r="BI203"/>
  <c r="BH205"/>
  <c r="BI102"/>
  <c r="AC102" s="1"/>
  <c r="AV154"/>
  <c r="BI172"/>
  <c r="AC172" s="1"/>
  <c r="BI201"/>
  <c r="AL16"/>
  <c r="AU15" s="1"/>
  <c r="AL33"/>
  <c r="AU32" s="1"/>
  <c r="AL43"/>
  <c r="AU42" s="1"/>
  <c r="AX50"/>
  <c r="BC50" s="1"/>
  <c r="AW52"/>
  <c r="AL70"/>
  <c r="AU69" s="1"/>
  <c r="AL77"/>
  <c r="AU76" s="1"/>
  <c r="AX102"/>
  <c r="AW104"/>
  <c r="AX130"/>
  <c r="BC130" s="1"/>
  <c r="AW133"/>
  <c r="H142"/>
  <c r="AX166"/>
  <c r="AV166" s="1"/>
  <c r="AX172"/>
  <c r="AV172" s="1"/>
  <c r="AX180"/>
  <c r="BC180" s="1"/>
  <c r="BC183"/>
  <c r="AX185"/>
  <c r="AV185" s="1"/>
  <c r="AW187"/>
  <c r="BC199"/>
  <c r="AX201"/>
  <c r="AV201" s="1"/>
  <c r="AW203"/>
  <c r="BH52"/>
  <c r="AD52" s="1"/>
  <c r="BI180"/>
  <c r="AC180" s="1"/>
  <c r="C22" i="2" l="1"/>
  <c r="AV133" i="1"/>
  <c r="BC133"/>
  <c r="AV203"/>
  <c r="BC203"/>
  <c r="AV52"/>
  <c r="BC52"/>
  <c r="AV54"/>
  <c r="BC54"/>
  <c r="AV56"/>
  <c r="BC56"/>
  <c r="C29" i="2"/>
  <c r="AV130" i="1"/>
  <c r="BC172"/>
  <c r="AV180"/>
  <c r="AV50"/>
  <c r="AV187"/>
  <c r="BC187"/>
  <c r="AV83"/>
  <c r="BC83"/>
  <c r="BC166"/>
  <c r="AV144"/>
  <c r="BC144"/>
  <c r="AV189"/>
  <c r="BC189"/>
  <c r="AV205"/>
  <c r="BC205"/>
  <c r="AV142"/>
  <c r="BC142"/>
  <c r="BC201"/>
  <c r="AV191"/>
  <c r="BC191"/>
  <c r="AV111"/>
  <c r="BC111"/>
  <c r="H82"/>
  <c r="BC185"/>
  <c r="AV107"/>
  <c r="BC107"/>
  <c r="AV207"/>
  <c r="BC207"/>
  <c r="AV104"/>
  <c r="BC104"/>
  <c r="F29" i="2" l="1"/>
  <c r="I28"/>
  <c r="I29" l="1"/>
</calcChain>
</file>

<file path=xl/sharedStrings.xml><?xml version="1.0" encoding="utf-8"?>
<sst xmlns="http://schemas.openxmlformats.org/spreadsheetml/2006/main" count="1364" uniqueCount="486">
  <si>
    <t>Slepý stavební rozpočet</t>
  </si>
  <si>
    <t>Název stavby:</t>
  </si>
  <si>
    <t>ODSTRANĚNÍ BÝVALÉHO AREÁLU KOVOŠROT - haly č. 4</t>
  </si>
  <si>
    <t>Doba výstavby:</t>
  </si>
  <si>
    <t xml:space="preserve"> </t>
  </si>
  <si>
    <t>Objednatel:</t>
  </si>
  <si>
    <t>Technické služby Litvínov s.r.o.</t>
  </si>
  <si>
    <t>Druh stavby:</t>
  </si>
  <si>
    <t>Odstranění haly</t>
  </si>
  <si>
    <t>Začátek výstavby:</t>
  </si>
  <si>
    <t>Projektant:</t>
  </si>
  <si>
    <t>VIVACH s.r.o.</t>
  </si>
  <si>
    <t>Lokalita:</t>
  </si>
  <si>
    <t>k.ú.Hamr u Litvínova, parc. č. 559</t>
  </si>
  <si>
    <t>Konec výstavby:</t>
  </si>
  <si>
    <t>Zhotovitel:</t>
  </si>
  <si>
    <t> </t>
  </si>
  <si>
    <t>JKSO:</t>
  </si>
  <si>
    <t>Zpracováno dne:</t>
  </si>
  <si>
    <t>30.10.2024</t>
  </si>
  <si>
    <t>Zpracoval:</t>
  </si>
  <si>
    <t>Kamila Možná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</si>
  <si>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</si>
  <si>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</si>
  <si>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</si>
  <si>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</si>
  <si>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</si>
  <si>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</si>
  <si>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</si>
  <si>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</si>
  <si>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</si>
  <si>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</si>
  <si>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</si>
  <si>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</si>
  <si>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</si>
  <si>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</si>
  <si>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</si>
  <si>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</si>
  <si>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</si>
  <si>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</si>
  <si>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</si>
  <si>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</si>
  <si>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</si>
  <si>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</si>
  <si>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</si>
  <si>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</si>
  <si>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</si>
  <si>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</si>
  <si>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</si>
  <si>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</si>
  <si>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</si>
  <si>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</si>
  <si>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0</t>
  </si>
  <si>
    <t>Všeobecné konstrukce a práce</t>
  </si>
  <si>
    <t>1</t>
  </si>
  <si>
    <t>001332247VD</t>
  </si>
  <si>
    <t>Odpojení stáv. inženýrských sítí</t>
  </si>
  <si>
    <t>kompl</t>
  </si>
  <si>
    <t>0_</t>
  </si>
  <si>
    <t>_</t>
  </si>
  <si>
    <t>1;odpojení bude provedeno dle požadavků správců sítí;</t>
  </si>
  <si>
    <t>17</t>
  </si>
  <si>
    <t>Konstrukce ze zemin</t>
  </si>
  <si>
    <t>2</t>
  </si>
  <si>
    <t>171102105R00</t>
  </si>
  <si>
    <t>Uložení recyklátu do násypů, zhutn, na 103% PS</t>
  </si>
  <si>
    <t>m3</t>
  </si>
  <si>
    <t>RTS I / 2024</t>
  </si>
  <si>
    <t>17_</t>
  </si>
  <si>
    <t>1_</t>
  </si>
  <si>
    <t>(22,9+8+28,9)*0,85;m.č. 1-10 sž1-12);</t>
  </si>
  <si>
    <t>1,2*7,2*1;mont. jáma;</t>
  </si>
  <si>
    <t>53,9*0,3;m.č. 1-14;</t>
  </si>
  <si>
    <t>712</t>
  </si>
  <si>
    <t>Izolace střech (živičné krytiny)</t>
  </si>
  <si>
    <t>3</t>
  </si>
  <si>
    <t>712300832R00</t>
  </si>
  <si>
    <t>Odstranění povlakové krytiny střech do 10° , 2 vrstvy</t>
  </si>
  <si>
    <t>m2</t>
  </si>
  <si>
    <t>7</t>
  </si>
  <si>
    <t>712_</t>
  </si>
  <si>
    <t>71_</t>
  </si>
  <si>
    <t>4,16*7,77</t>
  </si>
  <si>
    <t>4</t>
  </si>
  <si>
    <t>712600831R00</t>
  </si>
  <si>
    <t>Odstranění povlakové krytiny střech nad 30°</t>
  </si>
  <si>
    <t>862</t>
  </si>
  <si>
    <t>725</t>
  </si>
  <si>
    <t>Zařizovací předměty</t>
  </si>
  <si>
    <t>5</t>
  </si>
  <si>
    <t>725110811R00</t>
  </si>
  <si>
    <t>Demontáž klozetů</t>
  </si>
  <si>
    <t>soubor</t>
  </si>
  <si>
    <t>725_</t>
  </si>
  <si>
    <t>72_</t>
  </si>
  <si>
    <t>6</t>
  </si>
  <si>
    <t>725210821R00</t>
  </si>
  <si>
    <t>Demontáž umyvadel</t>
  </si>
  <si>
    <t>725820801R00</t>
  </si>
  <si>
    <t>Demontáž baterie</t>
  </si>
  <si>
    <t>762</t>
  </si>
  <si>
    <t>Konstrukce tesařské</t>
  </si>
  <si>
    <t>8</t>
  </si>
  <si>
    <t>762342812R00</t>
  </si>
  <si>
    <t>Demontáž laťování střech</t>
  </si>
  <si>
    <t>762_</t>
  </si>
  <si>
    <t>76_</t>
  </si>
  <si>
    <t>9</t>
  </si>
  <si>
    <t>762331923R00</t>
  </si>
  <si>
    <t>Vyřezání části střešní vazby do 224 cm2,do dl.8 m</t>
  </si>
  <si>
    <t>m</t>
  </si>
  <si>
    <t>7,8*37</t>
  </si>
  <si>
    <t>10</t>
  </si>
  <si>
    <t>762822820R00</t>
  </si>
  <si>
    <t>Demontáž stropnic z řeziva o pl.do 288 cm2</t>
  </si>
  <si>
    <t>7,4*37</t>
  </si>
  <si>
    <t>763</t>
  </si>
  <si>
    <t>Dřevostavby</t>
  </si>
  <si>
    <t>11</t>
  </si>
  <si>
    <t>763732212R00</t>
  </si>
  <si>
    <t>Demontáž střech z vazníků dl. do 18 m</t>
  </si>
  <si>
    <t>763_</t>
  </si>
  <si>
    <t>19,8*37</t>
  </si>
  <si>
    <t>764</t>
  </si>
  <si>
    <t>Konstrukce klempířské</t>
  </si>
  <si>
    <t>12</t>
  </si>
  <si>
    <t>764311832R00</t>
  </si>
  <si>
    <t>Demontáž krytiny, tabule 2 x 1 m, nad 25 m2, do 45°</t>
  </si>
  <si>
    <t>764_</t>
  </si>
  <si>
    <t>37,145*7,7*2</t>
  </si>
  <si>
    <t>37,145*7,8</t>
  </si>
  <si>
    <t>13</t>
  </si>
  <si>
    <t>764331850R00</t>
  </si>
  <si>
    <t>Demontáž lemování zdí, rš 400 a 500 mm, do 30°</t>
  </si>
  <si>
    <t>37,145+7,77</t>
  </si>
  <si>
    <t>14</t>
  </si>
  <si>
    <t>764352810R00</t>
  </si>
  <si>
    <t>Demontáž žlabů půlkruh. rovných, rš 330 mm, do 30°</t>
  </si>
  <si>
    <t>37,145</t>
  </si>
  <si>
    <t>15</t>
  </si>
  <si>
    <t>764352811R00</t>
  </si>
  <si>
    <t>Demontáž žlabů půlkruh. rovných, rš 330 mm, do 45°</t>
  </si>
  <si>
    <t>16</t>
  </si>
  <si>
    <t>764322830R00</t>
  </si>
  <si>
    <t>Demontáž oplechování okapů, TK, rš 400 mm, do 30°</t>
  </si>
  <si>
    <t>4,16</t>
  </si>
  <si>
    <t>764339831R00</t>
  </si>
  <si>
    <t>Demontáž lemování komínů v ploše, hl. kryt, do 45°</t>
  </si>
  <si>
    <t>18</t>
  </si>
  <si>
    <t>764359811R00</t>
  </si>
  <si>
    <t>Demontáž kotlíku kónického, sklon do 45°</t>
  </si>
  <si>
    <t>kus</t>
  </si>
  <si>
    <t>19</t>
  </si>
  <si>
    <t>764454801R00</t>
  </si>
  <si>
    <t>Demontáž odpadních trub kruhových, D 75 a 100 mm</t>
  </si>
  <si>
    <t>7*2+3*2+3,5*2</t>
  </si>
  <si>
    <t>20</t>
  </si>
  <si>
    <t>764430840R00</t>
  </si>
  <si>
    <t>Demontáž oplechování zdí,rš od 330 do 500 mm - atika</t>
  </si>
  <si>
    <t>4,16+7,77</t>
  </si>
  <si>
    <t>21</t>
  </si>
  <si>
    <t>764391821R00</t>
  </si>
  <si>
    <t>Demontáž závětrné lišty, rš 250 a 330 mm, do 45°</t>
  </si>
  <si>
    <t>7,8*2+7,7*4</t>
  </si>
  <si>
    <t>22</t>
  </si>
  <si>
    <t>764410850R00</t>
  </si>
  <si>
    <t>Demontáž oplechování parapetů,rš od 100 do 330 mm</t>
  </si>
  <si>
    <t>14+8</t>
  </si>
  <si>
    <t>766</t>
  </si>
  <si>
    <t>Konstrukce truhlářské</t>
  </si>
  <si>
    <t>23</t>
  </si>
  <si>
    <t>766900020RA0</t>
  </si>
  <si>
    <t>Demontáž obložení podhledů</t>
  </si>
  <si>
    <t>766_</t>
  </si>
  <si>
    <t>6,8*15,925+6,8*19,92</t>
  </si>
  <si>
    <t>767</t>
  </si>
  <si>
    <t>Konstrukce doplňkové stavební (zámečnické)</t>
  </si>
  <si>
    <t>24</t>
  </si>
  <si>
    <t>767995214VD</t>
  </si>
  <si>
    <t>Demontáž mříží</t>
  </si>
  <si>
    <t>767_</t>
  </si>
  <si>
    <t>2,6*1,6</t>
  </si>
  <si>
    <t>0,95*2*0,4</t>
  </si>
  <si>
    <t>0,8*1,2*3</t>
  </si>
  <si>
    <t>25</t>
  </si>
  <si>
    <t>767582800R00</t>
  </si>
  <si>
    <t>Demontáž podhledů - roštů</t>
  </si>
  <si>
    <t>776</t>
  </si>
  <si>
    <t>Podlahy povlakové</t>
  </si>
  <si>
    <t>26</t>
  </si>
  <si>
    <t>776511820RT1</t>
  </si>
  <si>
    <t>Odstranění PVC z ploch nad 20 m2</t>
  </si>
  <si>
    <t>776_</t>
  </si>
  <si>
    <t>77_</t>
  </si>
  <si>
    <t>22,60</t>
  </si>
  <si>
    <t>787</t>
  </si>
  <si>
    <t>Zasklívání</t>
  </si>
  <si>
    <t>27</t>
  </si>
  <si>
    <t>787600801R00</t>
  </si>
  <si>
    <t>Vysklívání oken skla plochého o ploše do 1 m2</t>
  </si>
  <si>
    <t>787_</t>
  </si>
  <si>
    <t>78_</t>
  </si>
  <si>
    <t>1,44+10,48+2,86</t>
  </si>
  <si>
    <t>96</t>
  </si>
  <si>
    <t>Bourání konstrukcí</t>
  </si>
  <si>
    <t>28</t>
  </si>
  <si>
    <t>962200041RAA</t>
  </si>
  <si>
    <t>Bourání výplní ze sklobetonu</t>
  </si>
  <si>
    <t>96_</t>
  </si>
  <si>
    <t>9_</t>
  </si>
  <si>
    <t>1*1,15*8</t>
  </si>
  <si>
    <t>0,85*1,2*3</t>
  </si>
  <si>
    <t>1*1,35*14</t>
  </si>
  <si>
    <t>1*0,85</t>
  </si>
  <si>
    <t>;luxfery;</t>
  </si>
  <si>
    <t>29</t>
  </si>
  <si>
    <t>968062354R00</t>
  </si>
  <si>
    <t>Vybourání dřevěných rámů oken dvojitých pl. 1 m2</t>
  </si>
  <si>
    <t>1,2*0,6*2</t>
  </si>
  <si>
    <t>30</t>
  </si>
  <si>
    <t>968061112R00</t>
  </si>
  <si>
    <t>Vyvěšení dřevěných okenních křídel pl. do 1,5 m2</t>
  </si>
  <si>
    <t>2*2</t>
  </si>
  <si>
    <t>1*3</t>
  </si>
  <si>
    <t>1*2</t>
  </si>
  <si>
    <t>3*4</t>
  </si>
  <si>
    <t>31</t>
  </si>
  <si>
    <t>968062355R00</t>
  </si>
  <si>
    <t>Vybourání dřevěných rámů oken dvojitých pl. 2 m2</t>
  </si>
  <si>
    <t>1,2*1,2*2</t>
  </si>
  <si>
    <t>0,95*2*4</t>
  </si>
  <si>
    <t>32</t>
  </si>
  <si>
    <t>968062356R00</t>
  </si>
  <si>
    <t>Vybourání dřevěných rámů oken dvojitých pl. 4 m2</t>
  </si>
  <si>
    <t>2,2*1,3</t>
  </si>
  <si>
    <t>33</t>
  </si>
  <si>
    <t>968071136R00</t>
  </si>
  <si>
    <t>Vyvěšení, zavěšení kovových křídel vrat do 4 m2</t>
  </si>
  <si>
    <t>34</t>
  </si>
  <si>
    <t>968071137R00</t>
  </si>
  <si>
    <t>Vyvěšení, zavěšení kovových křídel vrat nad 4 m2</t>
  </si>
  <si>
    <t>2*2*4</t>
  </si>
  <si>
    <t>35</t>
  </si>
  <si>
    <t>968072559R00</t>
  </si>
  <si>
    <t>Vybourání kovových vrat plochy nad 5 m2</t>
  </si>
  <si>
    <t>3*2,5</t>
  </si>
  <si>
    <t>3,435*4,25</t>
  </si>
  <si>
    <t>3,435*3,65*4</t>
  </si>
  <si>
    <t>36</t>
  </si>
  <si>
    <t>968071125R00</t>
  </si>
  <si>
    <t>Vyvěšení, zavěšení kovových křídel dveří pl. 2 m2</t>
  </si>
  <si>
    <t>37</t>
  </si>
  <si>
    <t>968072455R00</t>
  </si>
  <si>
    <t>Vybourání kovových dveřních zárubní pl. do 2 m2</t>
  </si>
  <si>
    <t>0,8*1,98</t>
  </si>
  <si>
    <t>38</t>
  </si>
  <si>
    <t>968061125R00</t>
  </si>
  <si>
    <t>Vyvěšení dřevěných a plastových dveřních křídel pl. do 2 m2</t>
  </si>
  <si>
    <t>3;600;</t>
  </si>
  <si>
    <t>2;700;</t>
  </si>
  <si>
    <t>4;800;</t>
  </si>
  <si>
    <t>1;900;</t>
  </si>
  <si>
    <t>1;865;</t>
  </si>
  <si>
    <t>2;1450;</t>
  </si>
  <si>
    <t>39</t>
  </si>
  <si>
    <t>0,6*1,97*3</t>
  </si>
  <si>
    <t>0,7*1,97*2</t>
  </si>
  <si>
    <t>0,8*1,97*4</t>
  </si>
  <si>
    <t>0,9*1,97</t>
  </si>
  <si>
    <t>0,865*1,935</t>
  </si>
  <si>
    <t>40</t>
  </si>
  <si>
    <t>968072456R00</t>
  </si>
  <si>
    <t>Vybourání kovových dveřních zárubní pl. nad 2 m2</t>
  </si>
  <si>
    <t>1,45*1,97</t>
  </si>
  <si>
    <t>41</t>
  </si>
  <si>
    <t>964073211R00</t>
  </si>
  <si>
    <t>Vybourání nosníků</t>
  </si>
  <si>
    <t>t</t>
  </si>
  <si>
    <t>4*26,3/1000;garáž;</t>
  </si>
  <si>
    <t>1*10*12/1000+1,8*12/1000;nad vnitřními dveřmi;</t>
  </si>
  <si>
    <t>42</t>
  </si>
  <si>
    <t>962031113R00</t>
  </si>
  <si>
    <t>Bourání příček z cihel pálených plných tl. 100 mm</t>
  </si>
  <si>
    <t>2*2,8</t>
  </si>
  <si>
    <t>6,9*2,6*3</t>
  </si>
  <si>
    <t>2,15*0,85</t>
  </si>
  <si>
    <t>3,715*3,45</t>
  </si>
  <si>
    <t>3,715*2,6-0,8*2</t>
  </si>
  <si>
    <t>2,65*2,6-0,6*2*2+1,45*2,135</t>
  </si>
  <si>
    <t>6,9*3,45-0,865*1,935</t>
  </si>
  <si>
    <t>3,43*2,6-0,8*2</t>
  </si>
  <si>
    <t>43</t>
  </si>
  <si>
    <t>962031116R00</t>
  </si>
  <si>
    <t>Bourání příček z cihel pálených plných tl. 150 mm</t>
  </si>
  <si>
    <t>6,9*2,6*2-0,8*2</t>
  </si>
  <si>
    <t>44</t>
  </si>
  <si>
    <t>965081713RT1</t>
  </si>
  <si>
    <t>Bourání dlažeb keramických tl.10 mm, nad 1 m2</t>
  </si>
  <si>
    <t>5,7+1,75+1,95+7,1</t>
  </si>
  <si>
    <t>45</t>
  </si>
  <si>
    <t>963051213R00</t>
  </si>
  <si>
    <t>Bourání ŽB stropů žebrových s viditelnými trámy</t>
  </si>
  <si>
    <t>27,70*0,15</t>
  </si>
  <si>
    <t>46</t>
  </si>
  <si>
    <t>965042241RT1</t>
  </si>
  <si>
    <t>Bourání mazanin betonových tl. nad 10 cm, nad 4 m2 - spádový beton na střeše</t>
  </si>
  <si>
    <t>29*0,15</t>
  </si>
  <si>
    <t>47</t>
  </si>
  <si>
    <t>964052111R00</t>
  </si>
  <si>
    <t>Bourání ŽB věnců průřezu do 0,16 m2</t>
  </si>
  <si>
    <t>(3,86*2+7,77)*0,3*0,25;garáž;</t>
  </si>
  <si>
    <t>(40,905+18,08)*2*0,3*0,25*2</t>
  </si>
  <si>
    <t>(40,905+18,08)*0,3*0,25*2</t>
  </si>
  <si>
    <t>48</t>
  </si>
  <si>
    <t>962023391R00</t>
  </si>
  <si>
    <t>Bourání zdiva nadzákladového smíšeného na MVC</t>
  </si>
  <si>
    <t>(10,98*6-0,6*2)*0,3+(6,9*3,45)*0,3;vnitřní příčné;</t>
  </si>
  <si>
    <t>(24,5+7,5)*6*0,3-(0,7+1,45+0,9+0,8*2+1,76)*2*0,3;vnitřní podélné;</t>
  </si>
  <si>
    <t>3,86*3,1*0,3+7,77*2,8*0,3-1,2*1,2*2*0,3+3,85*3,85*0,3-3*2,65*0,3;garáž;</t>
  </si>
  <si>
    <t>36,745*3*0,3-(0,8*1,2*3+1*0,85+1,2*0,6*2+0,95*2*4)*0,3;zadní spodek;</t>
  </si>
  <si>
    <t>6,9*3,7*0,3*2-(2,2*1,3+0,95*1,2*3)*0,3;štíty přístavba zadní;</t>
  </si>
  <si>
    <t>36,745*6*0,3-(0,85*2,03+3,435*4,3+3,435*3,7*4+1*1,35*3+1*1,55*11)*0,3;přední;</t>
  </si>
  <si>
    <t>36,745*3,6*0,3-1*1,15*8*0,3;zadní vršek;</t>
  </si>
  <si>
    <t>95+74;štíty;</t>
  </si>
  <si>
    <t>0,58*0,95*4,9*10+0,58*0,845*4,9*9;sloupy;</t>
  </si>
  <si>
    <t>0,6*1,2*1;konstrukce před 1-13;</t>
  </si>
  <si>
    <t>-27,207;viz věnec;</t>
  </si>
  <si>
    <t>49</t>
  </si>
  <si>
    <t>962032631R00</t>
  </si>
  <si>
    <t>Bourání zdiva komínového z cihel na MVC</t>
  </si>
  <si>
    <t>0,45*0,45*8+5*0,35</t>
  </si>
  <si>
    <t>0,45*0,45*4</t>
  </si>
  <si>
    <t>968</t>
  </si>
  <si>
    <t>vybourání otvorových výplní</t>
  </si>
  <si>
    <t>50</t>
  </si>
  <si>
    <t>968111108VD</t>
  </si>
  <si>
    <t>Demontáž žebříku</t>
  </si>
  <si>
    <t>968_</t>
  </si>
  <si>
    <t>1;žebřík;</t>
  </si>
  <si>
    <t>51</t>
  </si>
  <si>
    <t>968221120VD</t>
  </si>
  <si>
    <t>Demontáž ostatních konstrukcí</t>
  </si>
  <si>
    <t>1;nadstřešní budník, větrací mřížky, ocelová trouba + ocelová dvířka v garáži, hromosvod apod.)</t>
  </si>
  <si>
    <t>97</t>
  </si>
  <si>
    <t>Prorážení otvorů a ostatní bourací práce</t>
  </si>
  <si>
    <t>52</t>
  </si>
  <si>
    <t>978059531R00</t>
  </si>
  <si>
    <t>Odsekání vnitřních obkladů stěn</t>
  </si>
  <si>
    <t>97_</t>
  </si>
  <si>
    <t>(3,715+2,15)*2*2-0,865*1,935</t>
  </si>
  <si>
    <t>(2+2+1,9)*1,8</t>
  </si>
  <si>
    <t>(1,45+1,34)*2*1,8-0,6*1,8</t>
  </si>
  <si>
    <t>(1,45+1,21)*2*1,8-0,6*1,8</t>
  </si>
  <si>
    <t>53</t>
  </si>
  <si>
    <t>978012191R00</t>
  </si>
  <si>
    <t>Otlučení omítek vnitřních rákosov.stropů do 100 %</t>
  </si>
  <si>
    <t>10,95*19,92+10,98*15,925</t>
  </si>
  <si>
    <t>S</t>
  </si>
  <si>
    <t>Přesuny sutí</t>
  </si>
  <si>
    <t>54</t>
  </si>
  <si>
    <t>979082111R00</t>
  </si>
  <si>
    <t>Vnitrostaveništní doprava suti do 10 m</t>
  </si>
  <si>
    <t>S_</t>
  </si>
  <si>
    <t>1105,73026</t>
  </si>
  <si>
    <t>55</t>
  </si>
  <si>
    <t>979096211R00</t>
  </si>
  <si>
    <t>Drcení stavební suti mobilní drticí jednotkou pro zásyp</t>
  </si>
  <si>
    <t>75,64*2,3;objem zásypu x 2,3t;</t>
  </si>
  <si>
    <t>56</t>
  </si>
  <si>
    <t>979096205R00</t>
  </si>
  <si>
    <t>Plnění mobilní drticí jednotky stavební sutí</t>
  </si>
  <si>
    <t>173,972</t>
  </si>
  <si>
    <t>57</t>
  </si>
  <si>
    <t>979094211R00</t>
  </si>
  <si>
    <t>Nakládání nebo překládání vybourané suti</t>
  </si>
  <si>
    <t>1105,73026-173,972</t>
  </si>
  <si>
    <t>58</t>
  </si>
  <si>
    <t>979081111R00</t>
  </si>
  <si>
    <t>Odvoz suti a vybour. hmot na skládku do 1 km</t>
  </si>
  <si>
    <t>931,75826</t>
  </si>
  <si>
    <t>59</t>
  </si>
  <si>
    <t>979081121R00</t>
  </si>
  <si>
    <t>Příplatek k odvozu za každý další 1 km</t>
  </si>
  <si>
    <t>931,75826*14;odvoz celkem do 15km;</t>
  </si>
  <si>
    <t>60</t>
  </si>
  <si>
    <t>979951111R00</t>
  </si>
  <si>
    <t>Výkup kovů - železný šrot tl. do 4 mm</t>
  </si>
  <si>
    <t>14,03482</t>
  </si>
  <si>
    <t>61</t>
  </si>
  <si>
    <t>979951112R00</t>
  </si>
  <si>
    <t>Výkup kovů - železný šrot tl. nad 4 mm</t>
  </si>
  <si>
    <t>0,32577</t>
  </si>
  <si>
    <t>62</t>
  </si>
  <si>
    <t>979990109R00</t>
  </si>
  <si>
    <t>Poplatek za uložení suti - skleněné tvárnice, skupina odpadu 070202</t>
  </si>
  <si>
    <t>1,94233</t>
  </si>
  <si>
    <t>63</t>
  </si>
  <si>
    <t>979990121R00</t>
  </si>
  <si>
    <t>Poplatek za uložení suti - asfaltové pásy, skupina odpadu 170302</t>
  </si>
  <si>
    <t>5,49523</t>
  </si>
  <si>
    <t>64</t>
  </si>
  <si>
    <t>979990161R00</t>
  </si>
  <si>
    <t>Poplatek za uložení - dřevo, skupina odpadu 170201</t>
  </si>
  <si>
    <t>21,49691</t>
  </si>
  <si>
    <t>65</t>
  </si>
  <si>
    <t>979990168R00</t>
  </si>
  <si>
    <t>Poplatek za uložení suti - sklo, skupina odpadu 1702020</t>
  </si>
  <si>
    <t>0,1478</t>
  </si>
  <si>
    <t>66</t>
  </si>
  <si>
    <t>979990181R00</t>
  </si>
  <si>
    <t>Poplatek za uložení suti - PVC podlahová krytina, skupina odpadu 200307</t>
  </si>
  <si>
    <t>0,0791</t>
  </si>
  <si>
    <t>67</t>
  </si>
  <si>
    <t>979999984R00</t>
  </si>
  <si>
    <t>Poplatek za recyklaci - tašky, keramika, do 1600 cm2 (skup.170103)</t>
  </si>
  <si>
    <t>3,7209</t>
  </si>
  <si>
    <t>68</t>
  </si>
  <si>
    <t>979999979R00</t>
  </si>
  <si>
    <t>Poplatek za recyklaci, beton silně vyztužený, kusovost do 1600 cm2 (skup.170101)</t>
  </si>
  <si>
    <t>76,6076</t>
  </si>
  <si>
    <t>69</t>
  </si>
  <si>
    <t>979999982R00</t>
  </si>
  <si>
    <t>Poplatek za recyklaci betonu kusovost nad 1600 cm2 (skup.170101)</t>
  </si>
  <si>
    <t>9,57</t>
  </si>
  <si>
    <t>70</t>
  </si>
  <si>
    <t>979999983R00</t>
  </si>
  <si>
    <t>Poplatek za recyklaci cihel kusovost do 1600 cm2 (skup.170102)</t>
  </si>
  <si>
    <t>972,2321-173,972;odpočet zásypu;</t>
  </si>
  <si>
    <t>Celkem:</t>
  </si>
  <si>
    <t>Poznámka:</t>
  </si>
  <si>
    <t>Krycí list slepého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</si>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</sst>
</file>

<file path=xl/styles.xml><?xml version="1.0" encoding="utf-8"?>
<styleSheet xmlns="http://schemas.openxmlformats.org/spreadsheetml/2006/main">
  <fonts count="1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0">
    <xf numFmtId="0" fontId="0" fillId="0" borderId="0" xfId="0"/>
    <xf numFmtId="4" fontId="2" fillId="2" borderId="0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 applyProtection="1">
      <alignment horizontal="left" vertical="center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3" fillId="2" borderId="28" xfId="0" applyNumberFormat="1" applyFont="1" applyFill="1" applyBorder="1" applyAlignment="1" applyProtection="1">
      <alignment horizontal="left" vertical="center"/>
    </xf>
    <xf numFmtId="0" fontId="2" fillId="2" borderId="29" xfId="0" applyNumberFormat="1" applyFont="1" applyFill="1" applyBorder="1" applyAlignment="1" applyProtection="1">
      <alignment horizontal="left" vertical="center"/>
    </xf>
    <xf numFmtId="0" fontId="3" fillId="2" borderId="29" xfId="0" applyNumberFormat="1" applyFont="1" applyFill="1" applyBorder="1" applyAlignment="1" applyProtection="1">
      <alignment horizontal="left" vertical="center"/>
    </xf>
    <xf numFmtId="4" fontId="2" fillId="2" borderId="29" xfId="0" applyNumberFormat="1" applyFont="1" applyFill="1" applyBorder="1" applyAlignment="1" applyProtection="1">
      <alignment horizontal="right" vertical="center"/>
    </xf>
    <xf numFmtId="0" fontId="2" fillId="2" borderId="3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0" fillId="0" borderId="6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0" fillId="0" borderId="31" xfId="0" applyNumberFormat="1" applyFont="1" applyFill="1" applyBorder="1" applyAlignment="1" applyProtection="1"/>
    <xf numFmtId="0" fontId="0" fillId="0" borderId="32" xfId="0" applyNumberFormat="1" applyFont="1" applyFill="1" applyBorder="1" applyAlignment="1" applyProtection="1"/>
    <xf numFmtId="0" fontId="4" fillId="0" borderId="32" xfId="0" applyNumberFormat="1" applyFont="1" applyFill="1" applyBorder="1" applyAlignment="1" applyProtection="1">
      <alignment horizontal="left" vertical="center"/>
    </xf>
    <xf numFmtId="4" fontId="4" fillId="0" borderId="32" xfId="0" applyNumberFormat="1" applyFont="1" applyFill="1" applyBorder="1" applyAlignment="1" applyProtection="1">
      <alignment horizontal="right" vertical="center"/>
    </xf>
    <xf numFmtId="0" fontId="0" fillId="0" borderId="33" xfId="0" applyNumberFormat="1" applyFont="1" applyFill="1" applyBorder="1" applyAlignment="1" applyProtection="1"/>
    <xf numFmtId="4" fontId="2" fillId="0" borderId="3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2" borderId="36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10" fillId="0" borderId="41" xfId="0" applyNumberFormat="1" applyFont="1" applyFill="1" applyBorder="1" applyAlignment="1" applyProtection="1">
      <alignment horizontal="left" vertical="center"/>
    </xf>
    <xf numFmtId="4" fontId="10" fillId="0" borderId="41" xfId="0" applyNumberFormat="1" applyFont="1" applyFill="1" applyBorder="1" applyAlignment="1" applyProtection="1">
      <alignment horizontal="right" vertical="center"/>
    </xf>
    <xf numFmtId="0" fontId="10" fillId="0" borderId="41" xfId="0" applyNumberFormat="1" applyFont="1" applyFill="1" applyBorder="1" applyAlignment="1" applyProtection="1">
      <alignment horizontal="right" vertical="center"/>
    </xf>
    <xf numFmtId="0" fontId="9" fillId="0" borderId="44" xfId="0" applyNumberFormat="1" applyFont="1" applyFill="1" applyBorder="1" applyAlignment="1" applyProtection="1">
      <alignment horizontal="left" vertical="center"/>
    </xf>
    <xf numFmtId="4" fontId="10" fillId="0" borderId="48" xfId="0" applyNumberFormat="1" applyFont="1" applyFill="1" applyBorder="1" applyAlignment="1" applyProtection="1">
      <alignment horizontal="right" vertical="center"/>
    </xf>
    <xf numFmtId="0" fontId="10" fillId="0" borderId="48" xfId="0" applyNumberFormat="1" applyFont="1" applyFill="1" applyBorder="1" applyAlignment="1" applyProtection="1">
      <alignment horizontal="right" vertical="center"/>
    </xf>
    <xf numFmtId="4" fontId="10" fillId="0" borderId="39" xfId="0" applyNumberFormat="1" applyFont="1" applyFill="1" applyBorder="1" applyAlignment="1" applyProtection="1">
      <alignment horizontal="right" vertical="center"/>
    </xf>
    <xf numFmtId="4" fontId="10" fillId="0" borderId="25" xfId="0" applyNumberFormat="1" applyFont="1" applyFill="1" applyBorder="1" applyAlignment="1" applyProtection="1">
      <alignment horizontal="right" vertical="center"/>
    </xf>
    <xf numFmtId="4" fontId="9" fillId="2" borderId="38" xfId="0" applyNumberFormat="1" applyFont="1" applyFill="1" applyBorder="1" applyAlignment="1" applyProtection="1">
      <alignment horizontal="right" vertical="center"/>
    </xf>
    <xf numFmtId="4" fontId="9" fillId="2" borderId="43" xfId="0" applyNumberFormat="1" applyFont="1" applyFill="1" applyBorder="1" applyAlignment="1" applyProtection="1">
      <alignment horizontal="right" vertical="center"/>
    </xf>
    <xf numFmtId="0" fontId="5" fillId="0" borderId="29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right" vertical="center"/>
    </xf>
    <xf numFmtId="4" fontId="3" fillId="0" borderId="41" xfId="0" applyNumberFormat="1" applyFont="1" applyFill="1" applyBorder="1" applyAlignment="1" applyProtection="1">
      <alignment horizontal="right" vertical="center"/>
    </xf>
    <xf numFmtId="0" fontId="3" fillId="0" borderId="41" xfId="0" applyNumberFormat="1" applyFont="1" applyFill="1" applyBorder="1" applyAlignment="1" applyProtection="1">
      <alignment horizontal="left" vertical="center"/>
    </xf>
    <xf numFmtId="4" fontId="3" fillId="0" borderId="68" xfId="0" applyNumberFormat="1" applyFont="1" applyFill="1" applyBorder="1" applyAlignment="1" applyProtection="1">
      <alignment horizontal="right" vertical="center"/>
    </xf>
    <xf numFmtId="0" fontId="3" fillId="0" borderId="68" xfId="0" applyNumberFormat="1" applyFont="1" applyFill="1" applyBorder="1" applyAlignment="1" applyProtection="1">
      <alignment horizontal="left" vertical="center"/>
    </xf>
    <xf numFmtId="0" fontId="2" fillId="0" borderId="72" xfId="0" applyNumberFormat="1" applyFont="1" applyFill="1" applyBorder="1" applyAlignment="1" applyProtection="1">
      <alignment horizontal="left" vertical="center"/>
    </xf>
    <xf numFmtId="0" fontId="2" fillId="0" borderId="72" xfId="0" applyNumberFormat="1" applyFont="1" applyFill="1" applyBorder="1" applyAlignment="1" applyProtection="1">
      <alignment horizontal="right" vertical="center"/>
    </xf>
    <xf numFmtId="4" fontId="2" fillId="0" borderId="7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2" borderId="29" xfId="0" applyNumberFormat="1" applyFont="1" applyFill="1" applyBorder="1" applyAlignment="1" applyProtection="1">
      <alignment horizontal="left" vertical="center" wrapText="1"/>
    </xf>
    <xf numFmtId="0" fontId="2" fillId="2" borderId="29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0" borderId="34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left" vertical="center"/>
    </xf>
    <xf numFmtId="0" fontId="3" fillId="0" borderId="32" xfId="0" applyNumberFormat="1" applyFont="1" applyFill="1" applyBorder="1" applyAlignment="1" applyProtection="1">
      <alignment horizontal="left" vertical="center"/>
    </xf>
    <xf numFmtId="1" fontId="3" fillId="0" borderId="6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33" xfId="0" applyNumberFormat="1" applyFont="1" applyFill="1" applyBorder="1" applyAlignment="1" applyProtection="1">
      <alignment horizontal="left" vertical="center"/>
    </xf>
    <xf numFmtId="0" fontId="6" fillId="0" borderId="35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9" fillId="0" borderId="45" xfId="0" applyNumberFormat="1" applyFont="1" applyFill="1" applyBorder="1" applyAlignment="1" applyProtection="1">
      <alignment horizontal="left" vertical="center"/>
    </xf>
    <xf numFmtId="0" fontId="9" fillId="0" borderId="43" xfId="0" applyNumberFormat="1" applyFont="1" applyFill="1" applyBorder="1" applyAlignment="1" applyProtection="1">
      <alignment horizontal="left" vertical="center"/>
    </xf>
    <xf numFmtId="0" fontId="9" fillId="0" borderId="46" xfId="0" applyNumberFormat="1" applyFont="1" applyFill="1" applyBorder="1" applyAlignment="1" applyProtection="1">
      <alignment horizontal="left" vertical="center"/>
    </xf>
    <xf numFmtId="0" fontId="9" fillId="0" borderId="47" xfId="0" applyNumberFormat="1" applyFont="1" applyFill="1" applyBorder="1" applyAlignment="1" applyProtection="1">
      <alignment horizontal="left" vertical="center"/>
    </xf>
    <xf numFmtId="0" fontId="9" fillId="0" borderId="50" xfId="0" applyNumberFormat="1" applyFont="1" applyFill="1" applyBorder="1" applyAlignment="1" applyProtection="1">
      <alignment horizontal="left" vertical="center"/>
    </xf>
    <xf numFmtId="0" fontId="9" fillId="0" borderId="38" xfId="0" applyNumberFormat="1" applyFont="1" applyFill="1" applyBorder="1" applyAlignment="1" applyProtection="1">
      <alignment horizontal="left" vertical="center"/>
    </xf>
    <xf numFmtId="0" fontId="10" fillId="0" borderId="42" xfId="0" applyNumberFormat="1" applyFont="1" applyFill="1" applyBorder="1" applyAlignment="1" applyProtection="1">
      <alignment horizontal="left" vertical="center"/>
    </xf>
    <xf numFmtId="0" fontId="10" fillId="0" borderId="43" xfId="0" applyNumberFormat="1" applyFont="1" applyFill="1" applyBorder="1" applyAlignment="1" applyProtection="1">
      <alignment horizontal="left" vertical="center"/>
    </xf>
    <xf numFmtId="0" fontId="10" fillId="0" borderId="49" xfId="0" applyNumberFormat="1" applyFont="1" applyFill="1" applyBorder="1" applyAlignment="1" applyProtection="1">
      <alignment horizontal="left" vertical="center"/>
    </xf>
    <xf numFmtId="0" fontId="10" fillId="0" borderId="47" xfId="0" applyNumberFormat="1" applyFont="1" applyFill="1" applyBorder="1" applyAlignment="1" applyProtection="1">
      <alignment horizontal="left" vertical="center"/>
    </xf>
    <xf numFmtId="0" fontId="9" fillId="0" borderId="37" xfId="0" applyNumberFormat="1" applyFont="1" applyFill="1" applyBorder="1" applyAlignment="1" applyProtection="1">
      <alignment horizontal="left" vertical="center"/>
    </xf>
    <xf numFmtId="0" fontId="9" fillId="0" borderId="42" xfId="0" applyNumberFormat="1" applyFont="1" applyFill="1" applyBorder="1" applyAlignment="1" applyProtection="1">
      <alignment horizontal="left" vertical="center"/>
    </xf>
    <xf numFmtId="0" fontId="9" fillId="2" borderId="50" xfId="0" applyNumberFormat="1" applyFont="1" applyFill="1" applyBorder="1" applyAlignment="1" applyProtection="1">
      <alignment horizontal="left" vertical="center"/>
    </xf>
    <xf numFmtId="0" fontId="9" fillId="2" borderId="51" xfId="0" applyNumberFormat="1" applyFont="1" applyFill="1" applyBorder="1" applyAlignment="1" applyProtection="1">
      <alignment horizontal="left" vertical="center"/>
    </xf>
    <xf numFmtId="0" fontId="9" fillId="2" borderId="45" xfId="0" applyNumberFormat="1" applyFont="1" applyFill="1" applyBorder="1" applyAlignment="1" applyProtection="1">
      <alignment horizontal="left" vertical="center"/>
    </xf>
    <xf numFmtId="0" fontId="9" fillId="2" borderId="52" xfId="0" applyNumberFormat="1" applyFont="1" applyFill="1" applyBorder="1" applyAlignment="1" applyProtection="1">
      <alignment horizontal="left" vertical="center"/>
    </xf>
    <xf numFmtId="0" fontId="9" fillId="2" borderId="37" xfId="0" applyNumberFormat="1" applyFont="1" applyFill="1" applyBorder="1" applyAlignment="1" applyProtection="1">
      <alignment horizontal="left" vertical="center"/>
    </xf>
    <xf numFmtId="0" fontId="9" fillId="2" borderId="42" xfId="0" applyNumberFormat="1" applyFont="1" applyFill="1" applyBorder="1" applyAlignment="1" applyProtection="1">
      <alignment horizontal="left" vertical="center"/>
    </xf>
    <xf numFmtId="0" fontId="10" fillId="0" borderId="53" xfId="0" applyNumberFormat="1" applyFont="1" applyFill="1" applyBorder="1" applyAlignment="1" applyProtection="1">
      <alignment horizontal="left" vertical="center"/>
    </xf>
    <xf numFmtId="0" fontId="10" fillId="0" borderId="54" xfId="0" applyNumberFormat="1" applyFont="1" applyFill="1" applyBorder="1" applyAlignment="1" applyProtection="1">
      <alignment horizontal="left" vertical="center"/>
    </xf>
    <xf numFmtId="0" fontId="10" fillId="0" borderId="55" xfId="0" applyNumberFormat="1" applyFont="1" applyFill="1" applyBorder="1" applyAlignment="1" applyProtection="1">
      <alignment horizontal="left" vertical="center"/>
    </xf>
    <xf numFmtId="0" fontId="10" fillId="0" borderId="57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58" xfId="0" applyNumberFormat="1" applyFont="1" applyFill="1" applyBorder="1" applyAlignment="1" applyProtection="1">
      <alignment horizontal="left" vertical="center"/>
    </xf>
    <xf numFmtId="0" fontId="10" fillId="0" borderId="60" xfId="0" applyNumberFormat="1" applyFont="1" applyFill="1" applyBorder="1" applyAlignment="1" applyProtection="1">
      <alignment horizontal="left" vertical="center"/>
    </xf>
    <xf numFmtId="0" fontId="10" fillId="0" borderId="61" xfId="0" applyNumberFormat="1" applyFont="1" applyFill="1" applyBorder="1" applyAlignment="1" applyProtection="1">
      <alignment horizontal="left" vertical="center"/>
    </xf>
    <xf numFmtId="0" fontId="10" fillId="0" borderId="62" xfId="0" applyNumberFormat="1" applyFont="1" applyFill="1" applyBorder="1" applyAlignment="1" applyProtection="1">
      <alignment horizontal="left" vertical="center"/>
    </xf>
    <xf numFmtId="0" fontId="10" fillId="0" borderId="56" xfId="0" applyNumberFormat="1" applyFont="1" applyFill="1" applyBorder="1" applyAlignment="1" applyProtection="1">
      <alignment horizontal="left" vertical="center"/>
    </xf>
    <xf numFmtId="0" fontId="10" fillId="0" borderId="59" xfId="0" applyNumberFormat="1" applyFont="1" applyFill="1" applyBorder="1" applyAlignment="1" applyProtection="1">
      <alignment horizontal="left" vertical="center"/>
    </xf>
    <xf numFmtId="0" fontId="10" fillId="0" borderId="63" xfId="0" applyNumberFormat="1" applyFont="1" applyFill="1" applyBorder="1" applyAlignment="1" applyProtection="1">
      <alignment horizontal="left" vertical="center"/>
    </xf>
    <xf numFmtId="0" fontId="9" fillId="0" borderId="8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3" fillId="0" borderId="67" xfId="0" applyNumberFormat="1" applyFont="1" applyFill="1" applyBorder="1" applyAlignment="1" applyProtection="1">
      <alignment horizontal="left" vertical="center"/>
    </xf>
    <xf numFmtId="0" fontId="2" fillId="0" borderId="69" xfId="0" applyNumberFormat="1" applyFont="1" applyFill="1" applyBorder="1" applyAlignment="1" applyProtection="1">
      <alignment horizontal="left" vertical="center"/>
    </xf>
    <xf numFmtId="0" fontId="2" fillId="0" borderId="70" xfId="0" applyNumberFormat="1" applyFont="1" applyFill="1" applyBorder="1" applyAlignment="1" applyProtection="1">
      <alignment horizontal="left" vertical="center"/>
    </xf>
    <xf numFmtId="0" fontId="2" fillId="0" borderId="71" xfId="0" applyNumberFormat="1" applyFont="1" applyFill="1" applyBorder="1" applyAlignment="1" applyProtection="1">
      <alignment horizontal="left" vertical="center"/>
    </xf>
    <xf numFmtId="0" fontId="9" fillId="0" borderId="69" xfId="0" applyNumberFormat="1" applyFont="1" applyFill="1" applyBorder="1" applyAlignment="1" applyProtection="1">
      <alignment horizontal="left" vertical="center"/>
    </xf>
    <xf numFmtId="0" fontId="9" fillId="0" borderId="70" xfId="0" applyNumberFormat="1" applyFont="1" applyFill="1" applyBorder="1" applyAlignment="1" applyProtection="1">
      <alignment horizontal="left" vertical="center"/>
    </xf>
    <xf numFmtId="0" fontId="9" fillId="0" borderId="71" xfId="0" applyNumberFormat="1" applyFont="1" applyFill="1" applyBorder="1" applyAlignment="1" applyProtection="1">
      <alignment horizontal="left" vertical="center"/>
    </xf>
    <xf numFmtId="4" fontId="9" fillId="0" borderId="73" xfId="0" applyNumberFormat="1" applyFont="1" applyFill="1" applyBorder="1" applyAlignment="1" applyProtection="1">
      <alignment horizontal="right" vertical="center"/>
    </xf>
    <xf numFmtId="0" fontId="9" fillId="0" borderId="70" xfId="0" applyNumberFormat="1" applyFont="1" applyFill="1" applyBorder="1" applyAlignment="1" applyProtection="1">
      <alignment horizontal="right" vertical="center"/>
    </xf>
    <xf numFmtId="0" fontId="9" fillId="0" borderId="7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219"/>
  <sheetViews>
    <sheetView tabSelected="1" workbookViewId="0">
      <pane ySplit="11" topLeftCell="A12" activePane="bottomLeft" state="frozen"/>
      <selection pane="bottomLeft" activeCell="A219" sqref="A219:K219"/>
    </sheetView>
  </sheetViews>
  <sheetFormatPr defaultColWidth="12.140625" defaultRowHeight="15" customHeight="1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6.4257812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>
      <c r="A2" s="65" t="s">
        <v>1</v>
      </c>
      <c r="B2" s="66"/>
      <c r="C2" s="74" t="s">
        <v>2</v>
      </c>
      <c r="D2" s="75"/>
      <c r="E2" s="66" t="s">
        <v>3</v>
      </c>
      <c r="F2" s="66"/>
      <c r="G2" s="66" t="s">
        <v>4</v>
      </c>
      <c r="H2" s="72" t="s">
        <v>5</v>
      </c>
      <c r="I2" s="72" t="s">
        <v>6</v>
      </c>
      <c r="J2" s="66"/>
      <c r="K2" s="77"/>
    </row>
    <row r="3" spans="1:76">
      <c r="A3" s="67"/>
      <c r="B3" s="68"/>
      <c r="C3" s="76"/>
      <c r="D3" s="76"/>
      <c r="E3" s="68"/>
      <c r="F3" s="68"/>
      <c r="G3" s="68"/>
      <c r="H3" s="68"/>
      <c r="I3" s="68"/>
      <c r="J3" s="68"/>
      <c r="K3" s="78"/>
    </row>
    <row r="4" spans="1:76">
      <c r="A4" s="69" t="s">
        <v>7</v>
      </c>
      <c r="B4" s="68"/>
      <c r="C4" s="73" t="s">
        <v>8</v>
      </c>
      <c r="D4" s="68"/>
      <c r="E4" s="68" t="s">
        <v>9</v>
      </c>
      <c r="F4" s="68"/>
      <c r="G4" s="68" t="s">
        <v>4</v>
      </c>
      <c r="H4" s="73" t="s">
        <v>10</v>
      </c>
      <c r="I4" s="73" t="s">
        <v>11</v>
      </c>
      <c r="J4" s="68"/>
      <c r="K4" s="78"/>
    </row>
    <row r="5" spans="1:76">
      <c r="A5" s="67"/>
      <c r="B5" s="68"/>
      <c r="C5" s="68"/>
      <c r="D5" s="68"/>
      <c r="E5" s="68"/>
      <c r="F5" s="68"/>
      <c r="G5" s="68"/>
      <c r="H5" s="68"/>
      <c r="I5" s="68"/>
      <c r="J5" s="68"/>
      <c r="K5" s="78"/>
    </row>
    <row r="6" spans="1:76">
      <c r="A6" s="69" t="s">
        <v>12</v>
      </c>
      <c r="B6" s="68"/>
      <c r="C6" s="73" t="s">
        <v>13</v>
      </c>
      <c r="D6" s="68"/>
      <c r="E6" s="68" t="s">
        <v>14</v>
      </c>
      <c r="F6" s="68"/>
      <c r="G6" s="68" t="s">
        <v>4</v>
      </c>
      <c r="H6" s="73" t="s">
        <v>15</v>
      </c>
      <c r="I6" s="68" t="s">
        <v>16</v>
      </c>
      <c r="J6" s="68"/>
      <c r="K6" s="78"/>
    </row>
    <row r="7" spans="1:76">
      <c r="A7" s="67"/>
      <c r="B7" s="68"/>
      <c r="C7" s="68"/>
      <c r="D7" s="68"/>
      <c r="E7" s="68"/>
      <c r="F7" s="68"/>
      <c r="G7" s="68"/>
      <c r="H7" s="68"/>
      <c r="I7" s="68"/>
      <c r="J7" s="68"/>
      <c r="K7" s="78"/>
    </row>
    <row r="8" spans="1:76">
      <c r="A8" s="69" t="s">
        <v>17</v>
      </c>
      <c r="B8" s="68"/>
      <c r="C8" s="73" t="s">
        <v>4</v>
      </c>
      <c r="D8" s="68"/>
      <c r="E8" s="68" t="s">
        <v>18</v>
      </c>
      <c r="F8" s="68"/>
      <c r="G8" s="68" t="s">
        <v>19</v>
      </c>
      <c r="H8" s="73" t="s">
        <v>20</v>
      </c>
      <c r="I8" s="73" t="s">
        <v>21</v>
      </c>
      <c r="J8" s="68"/>
      <c r="K8" s="78"/>
    </row>
    <row r="9" spans="1:76">
      <c r="A9" s="70"/>
      <c r="B9" s="71"/>
      <c r="C9" s="71"/>
      <c r="D9" s="71"/>
      <c r="E9" s="71"/>
      <c r="F9" s="71"/>
      <c r="G9" s="71"/>
      <c r="H9" s="71"/>
      <c r="I9" s="71"/>
      <c r="J9" s="71"/>
      <c r="K9" s="79"/>
    </row>
    <row r="10" spans="1:76">
      <c r="A10" s="5" t="s">
        <v>22</v>
      </c>
      <c r="B10" s="6" t="s">
        <v>23</v>
      </c>
      <c r="C10" s="80" t="s">
        <v>24</v>
      </c>
      <c r="D10" s="81"/>
      <c r="E10" s="6" t="s">
        <v>25</v>
      </c>
      <c r="F10" s="7" t="s">
        <v>26</v>
      </c>
      <c r="G10" s="8" t="s">
        <v>27</v>
      </c>
      <c r="H10" s="84" t="s">
        <v>28</v>
      </c>
      <c r="I10" s="85"/>
      <c r="J10" s="86"/>
      <c r="K10" s="9" t="s">
        <v>29</v>
      </c>
      <c r="BK10" s="10" t="s">
        <v>30</v>
      </c>
      <c r="BL10" s="11" t="s">
        <v>31</v>
      </c>
      <c r="BW10" s="11" t="s">
        <v>32</v>
      </c>
    </row>
    <row r="11" spans="1:76">
      <c r="A11" s="12" t="s">
        <v>4</v>
      </c>
      <c r="B11" s="13" t="s">
        <v>4</v>
      </c>
      <c r="C11" s="82" t="s">
        <v>33</v>
      </c>
      <c r="D11" s="83"/>
      <c r="E11" s="13" t="s">
        <v>4</v>
      </c>
      <c r="F11" s="13" t="s">
        <v>4</v>
      </c>
      <c r="G11" s="14" t="s">
        <v>34</v>
      </c>
      <c r="H11" s="15" t="s">
        <v>35</v>
      </c>
      <c r="I11" s="16" t="s">
        <v>36</v>
      </c>
      <c r="J11" s="17" t="s">
        <v>37</v>
      </c>
      <c r="K11" s="18" t="s">
        <v>38</v>
      </c>
      <c r="Z11" s="10" t="s">
        <v>39</v>
      </c>
      <c r="AA11" s="10" t="s">
        <v>40</v>
      </c>
      <c r="AB11" s="10" t="s">
        <v>41</v>
      </c>
      <c r="AC11" s="10" t="s">
        <v>42</v>
      </c>
      <c r="AD11" s="10" t="s">
        <v>43</v>
      </c>
      <c r="AE11" s="10" t="s">
        <v>44</v>
      </c>
      <c r="AF11" s="10" t="s">
        <v>45</v>
      </c>
      <c r="AG11" s="10" t="s">
        <v>46</v>
      </c>
      <c r="AH11" s="10" t="s">
        <v>47</v>
      </c>
      <c r="BH11" s="10" t="s">
        <v>48</v>
      </c>
      <c r="BI11" s="10" t="s">
        <v>49</v>
      </c>
      <c r="BJ11" s="10" t="s">
        <v>50</v>
      </c>
    </row>
    <row r="12" spans="1:76">
      <c r="A12" s="19" t="s">
        <v>51</v>
      </c>
      <c r="B12" s="20" t="s">
        <v>52</v>
      </c>
      <c r="C12" s="87" t="s">
        <v>53</v>
      </c>
      <c r="D12" s="88"/>
      <c r="E12" s="21" t="s">
        <v>4</v>
      </c>
      <c r="F12" s="21" t="s">
        <v>4</v>
      </c>
      <c r="G12" s="21" t="s">
        <v>4</v>
      </c>
      <c r="H12" s="22">
        <f>SUM(H13:H13)</f>
        <v>0</v>
      </c>
      <c r="I12" s="22">
        <f>SUM(I13:I13)</f>
        <v>0</v>
      </c>
      <c r="J12" s="22">
        <f>SUM(J13:J13)</f>
        <v>0</v>
      </c>
      <c r="K12" s="23" t="s">
        <v>51</v>
      </c>
      <c r="AI12" s="10" t="s">
        <v>51</v>
      </c>
      <c r="AS12" s="1">
        <f>SUM(AJ13:AJ13)</f>
        <v>0</v>
      </c>
      <c r="AT12" s="1">
        <f>SUM(AK13:AK13)</f>
        <v>0</v>
      </c>
      <c r="AU12" s="1">
        <f>SUM(AL13:AL13)</f>
        <v>0</v>
      </c>
    </row>
    <row r="13" spans="1:76">
      <c r="A13" s="2" t="s">
        <v>54</v>
      </c>
      <c r="B13" s="3" t="s">
        <v>55</v>
      </c>
      <c r="C13" s="73" t="s">
        <v>56</v>
      </c>
      <c r="D13" s="68"/>
      <c r="E13" s="3" t="s">
        <v>57</v>
      </c>
      <c r="F13" s="24">
        <v>1</v>
      </c>
      <c r="G13" s="24">
        <v>0</v>
      </c>
      <c r="H13" s="24">
        <f>F13*AO13</f>
        <v>0</v>
      </c>
      <c r="I13" s="24">
        <f>F13*AP13</f>
        <v>0</v>
      </c>
      <c r="J13" s="24">
        <f>F13*G13</f>
        <v>0</v>
      </c>
      <c r="K13" s="25" t="s">
        <v>51</v>
      </c>
      <c r="Z13" s="24">
        <f>IF(AQ13="5",BJ13,0)</f>
        <v>0</v>
      </c>
      <c r="AB13" s="24">
        <f>IF(AQ13="1",BH13,0)</f>
        <v>0</v>
      </c>
      <c r="AC13" s="24">
        <f>IF(AQ13="1",BI13,0)</f>
        <v>0</v>
      </c>
      <c r="AD13" s="24">
        <f>IF(AQ13="7",BH13,0)</f>
        <v>0</v>
      </c>
      <c r="AE13" s="24">
        <f>IF(AQ13="7",BI13,0)</f>
        <v>0</v>
      </c>
      <c r="AF13" s="24">
        <f>IF(AQ13="2",BH13,0)</f>
        <v>0</v>
      </c>
      <c r="AG13" s="24">
        <f>IF(AQ13="2",BI13,0)</f>
        <v>0</v>
      </c>
      <c r="AH13" s="24">
        <f>IF(AQ13="0",BJ13,0)</f>
        <v>0</v>
      </c>
      <c r="AI13" s="10" t="s">
        <v>51</v>
      </c>
      <c r="AJ13" s="24">
        <f>IF(AN13=0,J13,0)</f>
        <v>0</v>
      </c>
      <c r="AK13" s="24">
        <f>IF(AN13=12,J13,0)</f>
        <v>0</v>
      </c>
      <c r="AL13" s="24">
        <f>IF(AN13=21,J13,0)</f>
        <v>0</v>
      </c>
      <c r="AN13" s="24">
        <v>21</v>
      </c>
      <c r="AO13" s="24">
        <f>G13*0.5</f>
        <v>0</v>
      </c>
      <c r="AP13" s="24">
        <f>G13*(1-0.5)</f>
        <v>0</v>
      </c>
      <c r="AQ13" s="26" t="s">
        <v>54</v>
      </c>
      <c r="AV13" s="24">
        <f>AW13+AX13</f>
        <v>0</v>
      </c>
      <c r="AW13" s="24">
        <f>F13*AO13</f>
        <v>0</v>
      </c>
      <c r="AX13" s="24">
        <f>F13*AP13</f>
        <v>0</v>
      </c>
      <c r="AY13" s="26" t="s">
        <v>58</v>
      </c>
      <c r="AZ13" s="26" t="s">
        <v>58</v>
      </c>
      <c r="BA13" s="10" t="s">
        <v>59</v>
      </c>
      <c r="BC13" s="24">
        <f>AW13+AX13</f>
        <v>0</v>
      </c>
      <c r="BD13" s="24">
        <f>G13/(100-BE13)*100</f>
        <v>0</v>
      </c>
      <c r="BE13" s="24">
        <v>0</v>
      </c>
      <c r="BF13" s="24">
        <f>13</f>
        <v>13</v>
      </c>
      <c r="BH13" s="24">
        <f>F13*AO13</f>
        <v>0</v>
      </c>
      <c r="BI13" s="24">
        <f>F13*AP13</f>
        <v>0</v>
      </c>
      <c r="BJ13" s="24">
        <f>F13*G13</f>
        <v>0</v>
      </c>
      <c r="BK13" s="24"/>
      <c r="BL13" s="24">
        <v>0</v>
      </c>
      <c r="BW13" s="24">
        <v>21</v>
      </c>
      <c r="BX13" s="4" t="s">
        <v>56</v>
      </c>
    </row>
    <row r="14" spans="1:76">
      <c r="A14" s="27"/>
      <c r="C14" s="28" t="s">
        <v>60</v>
      </c>
      <c r="D14" s="28" t="s">
        <v>51</v>
      </c>
      <c r="F14" s="29">
        <v>1</v>
      </c>
      <c r="K14" s="30"/>
    </row>
    <row r="15" spans="1:76">
      <c r="A15" s="31" t="s">
        <v>51</v>
      </c>
      <c r="B15" s="32" t="s">
        <v>61</v>
      </c>
      <c r="C15" s="89" t="s">
        <v>62</v>
      </c>
      <c r="D15" s="90"/>
      <c r="E15" s="33" t="s">
        <v>4</v>
      </c>
      <c r="F15" s="33" t="s">
        <v>4</v>
      </c>
      <c r="G15" s="33" t="s">
        <v>4</v>
      </c>
      <c r="H15" s="1">
        <f>SUM(H16:H16)</f>
        <v>0</v>
      </c>
      <c r="I15" s="1">
        <f>SUM(I16:I16)</f>
        <v>0</v>
      </c>
      <c r="J15" s="1">
        <f>SUM(J16:J16)</f>
        <v>0</v>
      </c>
      <c r="K15" s="34" t="s">
        <v>51</v>
      </c>
      <c r="AI15" s="10" t="s">
        <v>51</v>
      </c>
      <c r="AS15" s="1">
        <f>SUM(AJ16:AJ16)</f>
        <v>0</v>
      </c>
      <c r="AT15" s="1">
        <f>SUM(AK16:AK16)</f>
        <v>0</v>
      </c>
      <c r="AU15" s="1">
        <f>SUM(AL16:AL16)</f>
        <v>0</v>
      </c>
    </row>
    <row r="16" spans="1:76">
      <c r="A16" s="2" t="s">
        <v>63</v>
      </c>
      <c r="B16" s="3" t="s">
        <v>64</v>
      </c>
      <c r="C16" s="73" t="s">
        <v>65</v>
      </c>
      <c r="D16" s="68"/>
      <c r="E16" s="3" t="s">
        <v>66</v>
      </c>
      <c r="F16" s="24">
        <v>75.64</v>
      </c>
      <c r="G16" s="24">
        <v>0</v>
      </c>
      <c r="H16" s="24">
        <f>F16*AO16</f>
        <v>0</v>
      </c>
      <c r="I16" s="24">
        <f>F16*AP16</f>
        <v>0</v>
      </c>
      <c r="J16" s="24">
        <f>F16*G16</f>
        <v>0</v>
      </c>
      <c r="K16" s="25" t="s">
        <v>67</v>
      </c>
      <c r="Z16" s="24">
        <f>IF(AQ16="5",BJ16,0)</f>
        <v>0</v>
      </c>
      <c r="AB16" s="24">
        <f>IF(AQ16="1",BH16,0)</f>
        <v>0</v>
      </c>
      <c r="AC16" s="24">
        <f>IF(AQ16="1",BI16,0)</f>
        <v>0</v>
      </c>
      <c r="AD16" s="24">
        <f>IF(AQ16="7",BH16,0)</f>
        <v>0</v>
      </c>
      <c r="AE16" s="24">
        <f>IF(AQ16="7",BI16,0)</f>
        <v>0</v>
      </c>
      <c r="AF16" s="24">
        <f>IF(AQ16="2",BH16,0)</f>
        <v>0</v>
      </c>
      <c r="AG16" s="24">
        <f>IF(AQ16="2",BI16,0)</f>
        <v>0</v>
      </c>
      <c r="AH16" s="24">
        <f>IF(AQ16="0",BJ16,0)</f>
        <v>0</v>
      </c>
      <c r="AI16" s="10" t="s">
        <v>51</v>
      </c>
      <c r="AJ16" s="24">
        <f>IF(AN16=0,J16,0)</f>
        <v>0</v>
      </c>
      <c r="AK16" s="24">
        <f>IF(AN16=12,J16,0)</f>
        <v>0</v>
      </c>
      <c r="AL16" s="24">
        <f>IF(AN16=21,J16,0)</f>
        <v>0</v>
      </c>
      <c r="AN16" s="24">
        <v>21</v>
      </c>
      <c r="AO16" s="24">
        <f>G16*0</f>
        <v>0</v>
      </c>
      <c r="AP16" s="24">
        <f>G16*(1-0)</f>
        <v>0</v>
      </c>
      <c r="AQ16" s="26" t="s">
        <v>54</v>
      </c>
      <c r="AV16" s="24">
        <f>AW16+AX16</f>
        <v>0</v>
      </c>
      <c r="AW16" s="24">
        <f>F16*AO16</f>
        <v>0</v>
      </c>
      <c r="AX16" s="24">
        <f>F16*AP16</f>
        <v>0</v>
      </c>
      <c r="AY16" s="26" t="s">
        <v>68</v>
      </c>
      <c r="AZ16" s="26" t="s">
        <v>69</v>
      </c>
      <c r="BA16" s="10" t="s">
        <v>59</v>
      </c>
      <c r="BC16" s="24">
        <f>AW16+AX16</f>
        <v>0</v>
      </c>
      <c r="BD16" s="24">
        <f>G16/(100-BE16)*100</f>
        <v>0</v>
      </c>
      <c r="BE16" s="24">
        <v>0</v>
      </c>
      <c r="BF16" s="24">
        <f>16</f>
        <v>16</v>
      </c>
      <c r="BH16" s="24">
        <f>F16*AO16</f>
        <v>0</v>
      </c>
      <c r="BI16" s="24">
        <f>F16*AP16</f>
        <v>0</v>
      </c>
      <c r="BJ16" s="24">
        <f>F16*G16</f>
        <v>0</v>
      </c>
      <c r="BK16" s="24"/>
      <c r="BL16" s="24">
        <v>17</v>
      </c>
      <c r="BW16" s="24">
        <v>21</v>
      </c>
      <c r="BX16" s="4" t="s">
        <v>65</v>
      </c>
    </row>
    <row r="17" spans="1:76">
      <c r="A17" s="27"/>
      <c r="C17" s="28" t="s">
        <v>70</v>
      </c>
      <c r="D17" s="28" t="s">
        <v>51</v>
      </c>
      <c r="F17" s="29">
        <v>50.83</v>
      </c>
      <c r="K17" s="30"/>
    </row>
    <row r="18" spans="1:76">
      <c r="A18" s="27"/>
      <c r="C18" s="28" t="s">
        <v>71</v>
      </c>
      <c r="D18" s="28" t="s">
        <v>51</v>
      </c>
      <c r="F18" s="29">
        <v>8.64</v>
      </c>
      <c r="K18" s="30"/>
    </row>
    <row r="19" spans="1:76">
      <c r="A19" s="27"/>
      <c r="C19" s="28" t="s">
        <v>72</v>
      </c>
      <c r="D19" s="28" t="s">
        <v>51</v>
      </c>
      <c r="F19" s="29">
        <v>16.170000000000002</v>
      </c>
      <c r="K19" s="30"/>
    </row>
    <row r="20" spans="1:76">
      <c r="A20" s="31" t="s">
        <v>51</v>
      </c>
      <c r="B20" s="32" t="s">
        <v>73</v>
      </c>
      <c r="C20" s="89" t="s">
        <v>74</v>
      </c>
      <c r="D20" s="90"/>
      <c r="E20" s="33" t="s">
        <v>4</v>
      </c>
      <c r="F20" s="33" t="s">
        <v>4</v>
      </c>
      <c r="G20" s="33" t="s">
        <v>4</v>
      </c>
      <c r="H20" s="1">
        <f>SUM(H21:H23)</f>
        <v>0</v>
      </c>
      <c r="I20" s="1">
        <f>SUM(I21:I23)</f>
        <v>0</v>
      </c>
      <c r="J20" s="1">
        <f>SUM(J21:J23)</f>
        <v>0</v>
      </c>
      <c r="K20" s="34" t="s">
        <v>51</v>
      </c>
      <c r="AI20" s="10" t="s">
        <v>51</v>
      </c>
      <c r="AS20" s="1">
        <f>SUM(AJ21:AJ23)</f>
        <v>0</v>
      </c>
      <c r="AT20" s="1">
        <f>SUM(AK21:AK23)</f>
        <v>0</v>
      </c>
      <c r="AU20" s="1">
        <f>SUM(AL21:AL23)</f>
        <v>0</v>
      </c>
    </row>
    <row r="21" spans="1:76">
      <c r="A21" s="2" t="s">
        <v>75</v>
      </c>
      <c r="B21" s="3" t="s">
        <v>76</v>
      </c>
      <c r="C21" s="73" t="s">
        <v>77</v>
      </c>
      <c r="D21" s="68"/>
      <c r="E21" s="3" t="s">
        <v>78</v>
      </c>
      <c r="F21" s="24">
        <v>32.3232</v>
      </c>
      <c r="G21" s="24">
        <v>0</v>
      </c>
      <c r="H21" s="24">
        <f>F21*AO21</f>
        <v>0</v>
      </c>
      <c r="I21" s="24">
        <f>F21*AP21</f>
        <v>0</v>
      </c>
      <c r="J21" s="24">
        <f>F21*G21</f>
        <v>0</v>
      </c>
      <c r="K21" s="25" t="s">
        <v>67</v>
      </c>
      <c r="Z21" s="24">
        <f>IF(AQ21="5",BJ21,0)</f>
        <v>0</v>
      </c>
      <c r="AB21" s="24">
        <f>IF(AQ21="1",BH21,0)</f>
        <v>0</v>
      </c>
      <c r="AC21" s="24">
        <f>IF(AQ21="1",BI21,0)</f>
        <v>0</v>
      </c>
      <c r="AD21" s="24">
        <f>IF(AQ21="7",BH21,0)</f>
        <v>0</v>
      </c>
      <c r="AE21" s="24">
        <f>IF(AQ21="7",BI21,0)</f>
        <v>0</v>
      </c>
      <c r="AF21" s="24">
        <f>IF(AQ21="2",BH21,0)</f>
        <v>0</v>
      </c>
      <c r="AG21" s="24">
        <f>IF(AQ21="2",BI21,0)</f>
        <v>0</v>
      </c>
      <c r="AH21" s="24">
        <f>IF(AQ21="0",BJ21,0)</f>
        <v>0</v>
      </c>
      <c r="AI21" s="10" t="s">
        <v>51</v>
      </c>
      <c r="AJ21" s="24">
        <f>IF(AN21=0,J21,0)</f>
        <v>0</v>
      </c>
      <c r="AK21" s="24">
        <f>IF(AN21=12,J21,0)</f>
        <v>0</v>
      </c>
      <c r="AL21" s="24">
        <f>IF(AN21=21,J21,0)</f>
        <v>0</v>
      </c>
      <c r="AN21" s="24">
        <v>21</v>
      </c>
      <c r="AO21" s="24">
        <f>G21*0</f>
        <v>0</v>
      </c>
      <c r="AP21" s="24">
        <f>G21*(1-0)</f>
        <v>0</v>
      </c>
      <c r="AQ21" s="26" t="s">
        <v>79</v>
      </c>
      <c r="AV21" s="24">
        <f>AW21+AX21</f>
        <v>0</v>
      </c>
      <c r="AW21" s="24">
        <f>F21*AO21</f>
        <v>0</v>
      </c>
      <c r="AX21" s="24">
        <f>F21*AP21</f>
        <v>0</v>
      </c>
      <c r="AY21" s="26" t="s">
        <v>80</v>
      </c>
      <c r="AZ21" s="26" t="s">
        <v>81</v>
      </c>
      <c r="BA21" s="10" t="s">
        <v>59</v>
      </c>
      <c r="BC21" s="24">
        <f>AW21+AX21</f>
        <v>0</v>
      </c>
      <c r="BD21" s="24">
        <f>G21/(100-BE21)*100</f>
        <v>0</v>
      </c>
      <c r="BE21" s="24">
        <v>0</v>
      </c>
      <c r="BF21" s="24">
        <f>21</f>
        <v>21</v>
      </c>
      <c r="BH21" s="24">
        <f>F21*AO21</f>
        <v>0</v>
      </c>
      <c r="BI21" s="24">
        <f>F21*AP21</f>
        <v>0</v>
      </c>
      <c r="BJ21" s="24">
        <f>F21*G21</f>
        <v>0</v>
      </c>
      <c r="BK21" s="24"/>
      <c r="BL21" s="24">
        <v>712</v>
      </c>
      <c r="BW21" s="24">
        <v>21</v>
      </c>
      <c r="BX21" s="4" t="s">
        <v>77</v>
      </c>
    </row>
    <row r="22" spans="1:76">
      <c r="A22" s="27"/>
      <c r="C22" s="28" t="s">
        <v>82</v>
      </c>
      <c r="D22" s="28" t="s">
        <v>51</v>
      </c>
      <c r="F22" s="29">
        <v>32.3232</v>
      </c>
      <c r="K22" s="30"/>
    </row>
    <row r="23" spans="1:76">
      <c r="A23" s="2" t="s">
        <v>83</v>
      </c>
      <c r="B23" s="3" t="s">
        <v>84</v>
      </c>
      <c r="C23" s="73" t="s">
        <v>85</v>
      </c>
      <c r="D23" s="68"/>
      <c r="E23" s="3" t="s">
        <v>78</v>
      </c>
      <c r="F23" s="24">
        <v>862</v>
      </c>
      <c r="G23" s="24">
        <v>0</v>
      </c>
      <c r="H23" s="24">
        <f>F23*AO23</f>
        <v>0</v>
      </c>
      <c r="I23" s="24">
        <f>F23*AP23</f>
        <v>0</v>
      </c>
      <c r="J23" s="24">
        <f>F23*G23</f>
        <v>0</v>
      </c>
      <c r="K23" s="25" t="s">
        <v>67</v>
      </c>
      <c r="Z23" s="24">
        <f>IF(AQ23="5",BJ23,0)</f>
        <v>0</v>
      </c>
      <c r="AB23" s="24">
        <f>IF(AQ23="1",BH23,0)</f>
        <v>0</v>
      </c>
      <c r="AC23" s="24">
        <f>IF(AQ23="1",BI23,0)</f>
        <v>0</v>
      </c>
      <c r="AD23" s="24">
        <f>IF(AQ23="7",BH23,0)</f>
        <v>0</v>
      </c>
      <c r="AE23" s="24">
        <f>IF(AQ23="7",BI23,0)</f>
        <v>0</v>
      </c>
      <c r="AF23" s="24">
        <f>IF(AQ23="2",BH23,0)</f>
        <v>0</v>
      </c>
      <c r="AG23" s="24">
        <f>IF(AQ23="2",BI23,0)</f>
        <v>0</v>
      </c>
      <c r="AH23" s="24">
        <f>IF(AQ23="0",BJ23,0)</f>
        <v>0</v>
      </c>
      <c r="AI23" s="10" t="s">
        <v>51</v>
      </c>
      <c r="AJ23" s="24">
        <f>IF(AN23=0,J23,0)</f>
        <v>0</v>
      </c>
      <c r="AK23" s="24">
        <f>IF(AN23=12,J23,0)</f>
        <v>0</v>
      </c>
      <c r="AL23" s="24">
        <f>IF(AN23=21,J23,0)</f>
        <v>0</v>
      </c>
      <c r="AN23" s="24">
        <v>21</v>
      </c>
      <c r="AO23" s="24">
        <f>G23*0</f>
        <v>0</v>
      </c>
      <c r="AP23" s="24">
        <f>G23*(1-0)</f>
        <v>0</v>
      </c>
      <c r="AQ23" s="26" t="s">
        <v>79</v>
      </c>
      <c r="AV23" s="24">
        <f>AW23+AX23</f>
        <v>0</v>
      </c>
      <c r="AW23" s="24">
        <f>F23*AO23</f>
        <v>0</v>
      </c>
      <c r="AX23" s="24">
        <f>F23*AP23</f>
        <v>0</v>
      </c>
      <c r="AY23" s="26" t="s">
        <v>80</v>
      </c>
      <c r="AZ23" s="26" t="s">
        <v>81</v>
      </c>
      <c r="BA23" s="10" t="s">
        <v>59</v>
      </c>
      <c r="BC23" s="24">
        <f>AW23+AX23</f>
        <v>0</v>
      </c>
      <c r="BD23" s="24">
        <f>G23/(100-BE23)*100</f>
        <v>0</v>
      </c>
      <c r="BE23" s="24">
        <v>0</v>
      </c>
      <c r="BF23" s="24">
        <f>23</f>
        <v>23</v>
      </c>
      <c r="BH23" s="24">
        <f>F23*AO23</f>
        <v>0</v>
      </c>
      <c r="BI23" s="24">
        <f>F23*AP23</f>
        <v>0</v>
      </c>
      <c r="BJ23" s="24">
        <f>F23*G23</f>
        <v>0</v>
      </c>
      <c r="BK23" s="24"/>
      <c r="BL23" s="24">
        <v>712</v>
      </c>
      <c r="BW23" s="24">
        <v>21</v>
      </c>
      <c r="BX23" s="4" t="s">
        <v>85</v>
      </c>
    </row>
    <row r="24" spans="1:76">
      <c r="A24" s="27"/>
      <c r="C24" s="28" t="s">
        <v>86</v>
      </c>
      <c r="D24" s="28" t="s">
        <v>51</v>
      </c>
      <c r="F24" s="29">
        <v>862</v>
      </c>
      <c r="K24" s="30"/>
    </row>
    <row r="25" spans="1:76">
      <c r="A25" s="31" t="s">
        <v>51</v>
      </c>
      <c r="B25" s="32" t="s">
        <v>87</v>
      </c>
      <c r="C25" s="89" t="s">
        <v>88</v>
      </c>
      <c r="D25" s="90"/>
      <c r="E25" s="33" t="s">
        <v>4</v>
      </c>
      <c r="F25" s="33" t="s">
        <v>4</v>
      </c>
      <c r="G25" s="33" t="s">
        <v>4</v>
      </c>
      <c r="H25" s="1">
        <f>SUM(H26:H30)</f>
        <v>0</v>
      </c>
      <c r="I25" s="1">
        <f>SUM(I26:I30)</f>
        <v>0</v>
      </c>
      <c r="J25" s="1">
        <f>SUM(J26:J30)</f>
        <v>0</v>
      </c>
      <c r="K25" s="34" t="s">
        <v>51</v>
      </c>
      <c r="AI25" s="10" t="s">
        <v>51</v>
      </c>
      <c r="AS25" s="1">
        <f>SUM(AJ26:AJ30)</f>
        <v>0</v>
      </c>
      <c r="AT25" s="1">
        <f>SUM(AK26:AK30)</f>
        <v>0</v>
      </c>
      <c r="AU25" s="1">
        <f>SUM(AL26:AL30)</f>
        <v>0</v>
      </c>
    </row>
    <row r="26" spans="1:76">
      <c r="A26" s="2" t="s">
        <v>89</v>
      </c>
      <c r="B26" s="3" t="s">
        <v>90</v>
      </c>
      <c r="C26" s="73" t="s">
        <v>91</v>
      </c>
      <c r="D26" s="68"/>
      <c r="E26" s="3" t="s">
        <v>92</v>
      </c>
      <c r="F26" s="24">
        <v>1</v>
      </c>
      <c r="G26" s="24">
        <v>0</v>
      </c>
      <c r="H26" s="24">
        <f>F26*AO26</f>
        <v>0</v>
      </c>
      <c r="I26" s="24">
        <f>F26*AP26</f>
        <v>0</v>
      </c>
      <c r="J26" s="24">
        <f>F26*G26</f>
        <v>0</v>
      </c>
      <c r="K26" s="25" t="s">
        <v>67</v>
      </c>
      <c r="Z26" s="24">
        <f>IF(AQ26="5",BJ26,0)</f>
        <v>0</v>
      </c>
      <c r="AB26" s="24">
        <f>IF(AQ26="1",BH26,0)</f>
        <v>0</v>
      </c>
      <c r="AC26" s="24">
        <f>IF(AQ26="1",BI26,0)</f>
        <v>0</v>
      </c>
      <c r="AD26" s="24">
        <f>IF(AQ26="7",BH26,0)</f>
        <v>0</v>
      </c>
      <c r="AE26" s="24">
        <f>IF(AQ26="7",BI26,0)</f>
        <v>0</v>
      </c>
      <c r="AF26" s="24">
        <f>IF(AQ26="2",BH26,0)</f>
        <v>0</v>
      </c>
      <c r="AG26" s="24">
        <f>IF(AQ26="2",BI26,0)</f>
        <v>0</v>
      </c>
      <c r="AH26" s="24">
        <f>IF(AQ26="0",BJ26,0)</f>
        <v>0</v>
      </c>
      <c r="AI26" s="10" t="s">
        <v>51</v>
      </c>
      <c r="AJ26" s="24">
        <f>IF(AN26=0,J26,0)</f>
        <v>0</v>
      </c>
      <c r="AK26" s="24">
        <f>IF(AN26=12,J26,0)</f>
        <v>0</v>
      </c>
      <c r="AL26" s="24">
        <f>IF(AN26=21,J26,0)</f>
        <v>0</v>
      </c>
      <c r="AN26" s="24">
        <v>21</v>
      </c>
      <c r="AO26" s="24">
        <f>G26*0</f>
        <v>0</v>
      </c>
      <c r="AP26" s="24">
        <f>G26*(1-0)</f>
        <v>0</v>
      </c>
      <c r="AQ26" s="26" t="s">
        <v>79</v>
      </c>
      <c r="AV26" s="24">
        <f>AW26+AX26</f>
        <v>0</v>
      </c>
      <c r="AW26" s="24">
        <f>F26*AO26</f>
        <v>0</v>
      </c>
      <c r="AX26" s="24">
        <f>F26*AP26</f>
        <v>0</v>
      </c>
      <c r="AY26" s="26" t="s">
        <v>93</v>
      </c>
      <c r="AZ26" s="26" t="s">
        <v>94</v>
      </c>
      <c r="BA26" s="10" t="s">
        <v>59</v>
      </c>
      <c r="BC26" s="24">
        <f>AW26+AX26</f>
        <v>0</v>
      </c>
      <c r="BD26" s="24">
        <f>G26/(100-BE26)*100</f>
        <v>0</v>
      </c>
      <c r="BE26" s="24">
        <v>0</v>
      </c>
      <c r="BF26" s="24">
        <f>26</f>
        <v>26</v>
      </c>
      <c r="BH26" s="24">
        <f>F26*AO26</f>
        <v>0</v>
      </c>
      <c r="BI26" s="24">
        <f>F26*AP26</f>
        <v>0</v>
      </c>
      <c r="BJ26" s="24">
        <f>F26*G26</f>
        <v>0</v>
      </c>
      <c r="BK26" s="24"/>
      <c r="BL26" s="24">
        <v>725</v>
      </c>
      <c r="BW26" s="24">
        <v>21</v>
      </c>
      <c r="BX26" s="4" t="s">
        <v>91</v>
      </c>
    </row>
    <row r="27" spans="1:76">
      <c r="A27" s="27"/>
      <c r="C27" s="28" t="s">
        <v>54</v>
      </c>
      <c r="D27" s="28" t="s">
        <v>51</v>
      </c>
      <c r="F27" s="29">
        <v>1</v>
      </c>
      <c r="K27" s="30"/>
    </row>
    <row r="28" spans="1:76">
      <c r="A28" s="2" t="s">
        <v>95</v>
      </c>
      <c r="B28" s="3" t="s">
        <v>96</v>
      </c>
      <c r="C28" s="73" t="s">
        <v>97</v>
      </c>
      <c r="D28" s="68"/>
      <c r="E28" s="3" t="s">
        <v>92</v>
      </c>
      <c r="F28" s="24">
        <v>3</v>
      </c>
      <c r="G28" s="24">
        <v>0</v>
      </c>
      <c r="H28" s="24">
        <f>F28*AO28</f>
        <v>0</v>
      </c>
      <c r="I28" s="24">
        <f>F28*AP28</f>
        <v>0</v>
      </c>
      <c r="J28" s="24">
        <f>F28*G28</f>
        <v>0</v>
      </c>
      <c r="K28" s="25" t="s">
        <v>67</v>
      </c>
      <c r="Z28" s="24">
        <f>IF(AQ28="5",BJ28,0)</f>
        <v>0</v>
      </c>
      <c r="AB28" s="24">
        <f>IF(AQ28="1",BH28,0)</f>
        <v>0</v>
      </c>
      <c r="AC28" s="24">
        <f>IF(AQ28="1",BI28,0)</f>
        <v>0</v>
      </c>
      <c r="AD28" s="24">
        <f>IF(AQ28="7",BH28,0)</f>
        <v>0</v>
      </c>
      <c r="AE28" s="24">
        <f>IF(AQ28="7",BI28,0)</f>
        <v>0</v>
      </c>
      <c r="AF28" s="24">
        <f>IF(AQ28="2",BH28,0)</f>
        <v>0</v>
      </c>
      <c r="AG28" s="24">
        <f>IF(AQ28="2",BI28,0)</f>
        <v>0</v>
      </c>
      <c r="AH28" s="24">
        <f>IF(AQ28="0",BJ28,0)</f>
        <v>0</v>
      </c>
      <c r="AI28" s="10" t="s">
        <v>51</v>
      </c>
      <c r="AJ28" s="24">
        <f>IF(AN28=0,J28,0)</f>
        <v>0</v>
      </c>
      <c r="AK28" s="24">
        <f>IF(AN28=12,J28,0)</f>
        <v>0</v>
      </c>
      <c r="AL28" s="24">
        <f>IF(AN28=21,J28,0)</f>
        <v>0</v>
      </c>
      <c r="AN28" s="24">
        <v>21</v>
      </c>
      <c r="AO28" s="24">
        <f>G28*0</f>
        <v>0</v>
      </c>
      <c r="AP28" s="24">
        <f>G28*(1-0)</f>
        <v>0</v>
      </c>
      <c r="AQ28" s="26" t="s">
        <v>79</v>
      </c>
      <c r="AV28" s="24">
        <f>AW28+AX28</f>
        <v>0</v>
      </c>
      <c r="AW28" s="24">
        <f>F28*AO28</f>
        <v>0</v>
      </c>
      <c r="AX28" s="24">
        <f>F28*AP28</f>
        <v>0</v>
      </c>
      <c r="AY28" s="26" t="s">
        <v>93</v>
      </c>
      <c r="AZ28" s="26" t="s">
        <v>94</v>
      </c>
      <c r="BA28" s="10" t="s">
        <v>59</v>
      </c>
      <c r="BC28" s="24">
        <f>AW28+AX28</f>
        <v>0</v>
      </c>
      <c r="BD28" s="24">
        <f>G28/(100-BE28)*100</f>
        <v>0</v>
      </c>
      <c r="BE28" s="24">
        <v>0</v>
      </c>
      <c r="BF28" s="24">
        <f>28</f>
        <v>28</v>
      </c>
      <c r="BH28" s="24">
        <f>F28*AO28</f>
        <v>0</v>
      </c>
      <c r="BI28" s="24">
        <f>F28*AP28</f>
        <v>0</v>
      </c>
      <c r="BJ28" s="24">
        <f>F28*G28</f>
        <v>0</v>
      </c>
      <c r="BK28" s="24"/>
      <c r="BL28" s="24">
        <v>725</v>
      </c>
      <c r="BW28" s="24">
        <v>21</v>
      </c>
      <c r="BX28" s="4" t="s">
        <v>97</v>
      </c>
    </row>
    <row r="29" spans="1:76">
      <c r="A29" s="27"/>
      <c r="C29" s="28" t="s">
        <v>75</v>
      </c>
      <c r="D29" s="28" t="s">
        <v>51</v>
      </c>
      <c r="F29" s="29">
        <v>3</v>
      </c>
      <c r="K29" s="30"/>
    </row>
    <row r="30" spans="1:76">
      <c r="A30" s="2" t="s">
        <v>79</v>
      </c>
      <c r="B30" s="3" t="s">
        <v>98</v>
      </c>
      <c r="C30" s="73" t="s">
        <v>99</v>
      </c>
      <c r="D30" s="68"/>
      <c r="E30" s="3" t="s">
        <v>92</v>
      </c>
      <c r="F30" s="24">
        <v>3</v>
      </c>
      <c r="G30" s="24">
        <v>0</v>
      </c>
      <c r="H30" s="24">
        <f>F30*AO30</f>
        <v>0</v>
      </c>
      <c r="I30" s="24">
        <f>F30*AP30</f>
        <v>0</v>
      </c>
      <c r="J30" s="24">
        <f>F30*G30</f>
        <v>0</v>
      </c>
      <c r="K30" s="25" t="s">
        <v>67</v>
      </c>
      <c r="Z30" s="24">
        <f>IF(AQ30="5",BJ30,0)</f>
        <v>0</v>
      </c>
      <c r="AB30" s="24">
        <f>IF(AQ30="1",BH30,0)</f>
        <v>0</v>
      </c>
      <c r="AC30" s="24">
        <f>IF(AQ30="1",BI30,0)</f>
        <v>0</v>
      </c>
      <c r="AD30" s="24">
        <f>IF(AQ30="7",BH30,0)</f>
        <v>0</v>
      </c>
      <c r="AE30" s="24">
        <f>IF(AQ30="7",BI30,0)</f>
        <v>0</v>
      </c>
      <c r="AF30" s="24">
        <f>IF(AQ30="2",BH30,0)</f>
        <v>0</v>
      </c>
      <c r="AG30" s="24">
        <f>IF(AQ30="2",BI30,0)</f>
        <v>0</v>
      </c>
      <c r="AH30" s="24">
        <f>IF(AQ30="0",BJ30,0)</f>
        <v>0</v>
      </c>
      <c r="AI30" s="10" t="s">
        <v>51</v>
      </c>
      <c r="AJ30" s="24">
        <f>IF(AN30=0,J30,0)</f>
        <v>0</v>
      </c>
      <c r="AK30" s="24">
        <f>IF(AN30=12,J30,0)</f>
        <v>0</v>
      </c>
      <c r="AL30" s="24">
        <f>IF(AN30=21,J30,0)</f>
        <v>0</v>
      </c>
      <c r="AN30" s="24">
        <v>21</v>
      </c>
      <c r="AO30" s="24">
        <f>G30*0</f>
        <v>0</v>
      </c>
      <c r="AP30" s="24">
        <f>G30*(1-0)</f>
        <v>0</v>
      </c>
      <c r="AQ30" s="26" t="s">
        <v>79</v>
      </c>
      <c r="AV30" s="24">
        <f>AW30+AX30</f>
        <v>0</v>
      </c>
      <c r="AW30" s="24">
        <f>F30*AO30</f>
        <v>0</v>
      </c>
      <c r="AX30" s="24">
        <f>F30*AP30</f>
        <v>0</v>
      </c>
      <c r="AY30" s="26" t="s">
        <v>93</v>
      </c>
      <c r="AZ30" s="26" t="s">
        <v>94</v>
      </c>
      <c r="BA30" s="10" t="s">
        <v>59</v>
      </c>
      <c r="BC30" s="24">
        <f>AW30+AX30</f>
        <v>0</v>
      </c>
      <c r="BD30" s="24">
        <f>G30/(100-BE30)*100</f>
        <v>0</v>
      </c>
      <c r="BE30" s="24">
        <v>0</v>
      </c>
      <c r="BF30" s="24">
        <f>30</f>
        <v>30</v>
      </c>
      <c r="BH30" s="24">
        <f>F30*AO30</f>
        <v>0</v>
      </c>
      <c r="BI30" s="24">
        <f>F30*AP30</f>
        <v>0</v>
      </c>
      <c r="BJ30" s="24">
        <f>F30*G30</f>
        <v>0</v>
      </c>
      <c r="BK30" s="24"/>
      <c r="BL30" s="24">
        <v>725</v>
      </c>
      <c r="BW30" s="24">
        <v>21</v>
      </c>
      <c r="BX30" s="4" t="s">
        <v>99</v>
      </c>
    </row>
    <row r="31" spans="1:76">
      <c r="A31" s="27"/>
      <c r="C31" s="28" t="s">
        <v>75</v>
      </c>
      <c r="D31" s="28" t="s">
        <v>51</v>
      </c>
      <c r="F31" s="29">
        <v>3</v>
      </c>
      <c r="K31" s="30"/>
    </row>
    <row r="32" spans="1:76">
      <c r="A32" s="31" t="s">
        <v>51</v>
      </c>
      <c r="B32" s="32" t="s">
        <v>100</v>
      </c>
      <c r="C32" s="89" t="s">
        <v>101</v>
      </c>
      <c r="D32" s="90"/>
      <c r="E32" s="33" t="s">
        <v>4</v>
      </c>
      <c r="F32" s="33" t="s">
        <v>4</v>
      </c>
      <c r="G32" s="33" t="s">
        <v>4</v>
      </c>
      <c r="H32" s="1">
        <f>SUM(H33:H37)</f>
        <v>0</v>
      </c>
      <c r="I32" s="1">
        <f>SUM(I33:I37)</f>
        <v>0</v>
      </c>
      <c r="J32" s="1">
        <f>SUM(J33:J37)</f>
        <v>0</v>
      </c>
      <c r="K32" s="34" t="s">
        <v>51</v>
      </c>
      <c r="AI32" s="10" t="s">
        <v>51</v>
      </c>
      <c r="AS32" s="1">
        <f>SUM(AJ33:AJ37)</f>
        <v>0</v>
      </c>
      <c r="AT32" s="1">
        <f>SUM(AK33:AK37)</f>
        <v>0</v>
      </c>
      <c r="AU32" s="1">
        <f>SUM(AL33:AL37)</f>
        <v>0</v>
      </c>
    </row>
    <row r="33" spans="1:76">
      <c r="A33" s="2" t="s">
        <v>102</v>
      </c>
      <c r="B33" s="3" t="s">
        <v>103</v>
      </c>
      <c r="C33" s="73" t="s">
        <v>104</v>
      </c>
      <c r="D33" s="68"/>
      <c r="E33" s="3" t="s">
        <v>78</v>
      </c>
      <c r="F33" s="24">
        <v>862</v>
      </c>
      <c r="G33" s="24">
        <v>0</v>
      </c>
      <c r="H33" s="24">
        <f>F33*AO33</f>
        <v>0</v>
      </c>
      <c r="I33" s="24">
        <f>F33*AP33</f>
        <v>0</v>
      </c>
      <c r="J33" s="24">
        <f>F33*G33</f>
        <v>0</v>
      </c>
      <c r="K33" s="25" t="s">
        <v>67</v>
      </c>
      <c r="Z33" s="24">
        <f>IF(AQ33="5",BJ33,0)</f>
        <v>0</v>
      </c>
      <c r="AB33" s="24">
        <f>IF(AQ33="1",BH33,0)</f>
        <v>0</v>
      </c>
      <c r="AC33" s="24">
        <f>IF(AQ33="1",BI33,0)</f>
        <v>0</v>
      </c>
      <c r="AD33" s="24">
        <f>IF(AQ33="7",BH33,0)</f>
        <v>0</v>
      </c>
      <c r="AE33" s="24">
        <f>IF(AQ33="7",BI33,0)</f>
        <v>0</v>
      </c>
      <c r="AF33" s="24">
        <f>IF(AQ33="2",BH33,0)</f>
        <v>0</v>
      </c>
      <c r="AG33" s="24">
        <f>IF(AQ33="2",BI33,0)</f>
        <v>0</v>
      </c>
      <c r="AH33" s="24">
        <f>IF(AQ33="0",BJ33,0)</f>
        <v>0</v>
      </c>
      <c r="AI33" s="10" t="s">
        <v>51</v>
      </c>
      <c r="AJ33" s="24">
        <f>IF(AN33=0,J33,0)</f>
        <v>0</v>
      </c>
      <c r="AK33" s="24">
        <f>IF(AN33=12,J33,0)</f>
        <v>0</v>
      </c>
      <c r="AL33" s="24">
        <f>IF(AN33=21,J33,0)</f>
        <v>0</v>
      </c>
      <c r="AN33" s="24">
        <v>21</v>
      </c>
      <c r="AO33" s="24">
        <f>G33*0</f>
        <v>0</v>
      </c>
      <c r="AP33" s="24">
        <f>G33*(1-0)</f>
        <v>0</v>
      </c>
      <c r="AQ33" s="26" t="s">
        <v>79</v>
      </c>
      <c r="AV33" s="24">
        <f>AW33+AX33</f>
        <v>0</v>
      </c>
      <c r="AW33" s="24">
        <f>F33*AO33</f>
        <v>0</v>
      </c>
      <c r="AX33" s="24">
        <f>F33*AP33</f>
        <v>0</v>
      </c>
      <c r="AY33" s="26" t="s">
        <v>105</v>
      </c>
      <c r="AZ33" s="26" t="s">
        <v>106</v>
      </c>
      <c r="BA33" s="10" t="s">
        <v>59</v>
      </c>
      <c r="BC33" s="24">
        <f>AW33+AX33</f>
        <v>0</v>
      </c>
      <c r="BD33" s="24">
        <f>G33/(100-BE33)*100</f>
        <v>0</v>
      </c>
      <c r="BE33" s="24">
        <v>0</v>
      </c>
      <c r="BF33" s="24">
        <f>33</f>
        <v>33</v>
      </c>
      <c r="BH33" s="24">
        <f>F33*AO33</f>
        <v>0</v>
      </c>
      <c r="BI33" s="24">
        <f>F33*AP33</f>
        <v>0</v>
      </c>
      <c r="BJ33" s="24">
        <f>F33*G33</f>
        <v>0</v>
      </c>
      <c r="BK33" s="24"/>
      <c r="BL33" s="24">
        <v>762</v>
      </c>
      <c r="BW33" s="24">
        <v>21</v>
      </c>
      <c r="BX33" s="4" t="s">
        <v>104</v>
      </c>
    </row>
    <row r="34" spans="1:76">
      <c r="A34" s="27"/>
      <c r="C34" s="28" t="s">
        <v>86</v>
      </c>
      <c r="D34" s="28" t="s">
        <v>51</v>
      </c>
      <c r="F34" s="29">
        <v>862</v>
      </c>
      <c r="K34" s="30"/>
    </row>
    <row r="35" spans="1:76">
      <c r="A35" s="2" t="s">
        <v>107</v>
      </c>
      <c r="B35" s="3" t="s">
        <v>108</v>
      </c>
      <c r="C35" s="73" t="s">
        <v>109</v>
      </c>
      <c r="D35" s="68"/>
      <c r="E35" s="3" t="s">
        <v>110</v>
      </c>
      <c r="F35" s="24">
        <v>288.60000000000002</v>
      </c>
      <c r="G35" s="24">
        <v>0</v>
      </c>
      <c r="H35" s="24">
        <f>F35*AO35</f>
        <v>0</v>
      </c>
      <c r="I35" s="24">
        <f>F35*AP35</f>
        <v>0</v>
      </c>
      <c r="J35" s="24">
        <f>F35*G35</f>
        <v>0</v>
      </c>
      <c r="K35" s="25" t="s">
        <v>67</v>
      </c>
      <c r="Z35" s="24">
        <f>IF(AQ35="5",BJ35,0)</f>
        <v>0</v>
      </c>
      <c r="AB35" s="24">
        <f>IF(AQ35="1",BH35,0)</f>
        <v>0</v>
      </c>
      <c r="AC35" s="24">
        <f>IF(AQ35="1",BI35,0)</f>
        <v>0</v>
      </c>
      <c r="AD35" s="24">
        <f>IF(AQ35="7",BH35,0)</f>
        <v>0</v>
      </c>
      <c r="AE35" s="24">
        <f>IF(AQ35="7",BI35,0)</f>
        <v>0</v>
      </c>
      <c r="AF35" s="24">
        <f>IF(AQ35="2",BH35,0)</f>
        <v>0</v>
      </c>
      <c r="AG35" s="24">
        <f>IF(AQ35="2",BI35,0)</f>
        <v>0</v>
      </c>
      <c r="AH35" s="24">
        <f>IF(AQ35="0",BJ35,0)</f>
        <v>0</v>
      </c>
      <c r="AI35" s="10" t="s">
        <v>51</v>
      </c>
      <c r="AJ35" s="24">
        <f>IF(AN35=0,J35,0)</f>
        <v>0</v>
      </c>
      <c r="AK35" s="24">
        <f>IF(AN35=12,J35,0)</f>
        <v>0</v>
      </c>
      <c r="AL35" s="24">
        <f>IF(AN35=21,J35,0)</f>
        <v>0</v>
      </c>
      <c r="AN35" s="24">
        <v>21</v>
      </c>
      <c r="AO35" s="24">
        <f>G35*0.027507331</f>
        <v>0</v>
      </c>
      <c r="AP35" s="24">
        <f>G35*(1-0.027507331)</f>
        <v>0</v>
      </c>
      <c r="AQ35" s="26" t="s">
        <v>79</v>
      </c>
      <c r="AV35" s="24">
        <f>AW35+AX35</f>
        <v>0</v>
      </c>
      <c r="AW35" s="24">
        <f>F35*AO35</f>
        <v>0</v>
      </c>
      <c r="AX35" s="24">
        <f>F35*AP35</f>
        <v>0</v>
      </c>
      <c r="AY35" s="26" t="s">
        <v>105</v>
      </c>
      <c r="AZ35" s="26" t="s">
        <v>106</v>
      </c>
      <c r="BA35" s="10" t="s">
        <v>59</v>
      </c>
      <c r="BC35" s="24">
        <f>AW35+AX35</f>
        <v>0</v>
      </c>
      <c r="BD35" s="24">
        <f>G35/(100-BE35)*100</f>
        <v>0</v>
      </c>
      <c r="BE35" s="24">
        <v>0</v>
      </c>
      <c r="BF35" s="24">
        <f>35</f>
        <v>35</v>
      </c>
      <c r="BH35" s="24">
        <f>F35*AO35</f>
        <v>0</v>
      </c>
      <c r="BI35" s="24">
        <f>F35*AP35</f>
        <v>0</v>
      </c>
      <c r="BJ35" s="24">
        <f>F35*G35</f>
        <v>0</v>
      </c>
      <c r="BK35" s="24"/>
      <c r="BL35" s="24">
        <v>762</v>
      </c>
      <c r="BW35" s="24">
        <v>21</v>
      </c>
      <c r="BX35" s="4" t="s">
        <v>109</v>
      </c>
    </row>
    <row r="36" spans="1:76">
      <c r="A36" s="27"/>
      <c r="C36" s="28" t="s">
        <v>111</v>
      </c>
      <c r="D36" s="28" t="s">
        <v>51</v>
      </c>
      <c r="F36" s="29">
        <v>288.60000000000002</v>
      </c>
      <c r="K36" s="30"/>
    </row>
    <row r="37" spans="1:76">
      <c r="A37" s="2" t="s">
        <v>112</v>
      </c>
      <c r="B37" s="3" t="s">
        <v>113</v>
      </c>
      <c r="C37" s="73" t="s">
        <v>114</v>
      </c>
      <c r="D37" s="68"/>
      <c r="E37" s="3" t="s">
        <v>110</v>
      </c>
      <c r="F37" s="24">
        <v>273.8</v>
      </c>
      <c r="G37" s="24">
        <v>0</v>
      </c>
      <c r="H37" s="24">
        <f>F37*AO37</f>
        <v>0</v>
      </c>
      <c r="I37" s="24">
        <f>F37*AP37</f>
        <v>0</v>
      </c>
      <c r="J37" s="24">
        <f>F37*G37</f>
        <v>0</v>
      </c>
      <c r="K37" s="25" t="s">
        <v>67</v>
      </c>
      <c r="Z37" s="24">
        <f>IF(AQ37="5",BJ37,0)</f>
        <v>0</v>
      </c>
      <c r="AB37" s="24">
        <f>IF(AQ37="1",BH37,0)</f>
        <v>0</v>
      </c>
      <c r="AC37" s="24">
        <f>IF(AQ37="1",BI37,0)</f>
        <v>0</v>
      </c>
      <c r="AD37" s="24">
        <f>IF(AQ37="7",BH37,0)</f>
        <v>0</v>
      </c>
      <c r="AE37" s="24">
        <f>IF(AQ37="7",BI37,0)</f>
        <v>0</v>
      </c>
      <c r="AF37" s="24">
        <f>IF(AQ37="2",BH37,0)</f>
        <v>0</v>
      </c>
      <c r="AG37" s="24">
        <f>IF(AQ37="2",BI37,0)</f>
        <v>0</v>
      </c>
      <c r="AH37" s="24">
        <f>IF(AQ37="0",BJ37,0)</f>
        <v>0</v>
      </c>
      <c r="AI37" s="10" t="s">
        <v>51</v>
      </c>
      <c r="AJ37" s="24">
        <f>IF(AN37=0,J37,0)</f>
        <v>0</v>
      </c>
      <c r="AK37" s="24">
        <f>IF(AN37=12,J37,0)</f>
        <v>0</v>
      </c>
      <c r="AL37" s="24">
        <f>IF(AN37=21,J37,0)</f>
        <v>0</v>
      </c>
      <c r="AN37" s="24">
        <v>21</v>
      </c>
      <c r="AO37" s="24">
        <f>G37*0.062877067</f>
        <v>0</v>
      </c>
      <c r="AP37" s="24">
        <f>G37*(1-0.062877067)</f>
        <v>0</v>
      </c>
      <c r="AQ37" s="26" t="s">
        <v>79</v>
      </c>
      <c r="AV37" s="24">
        <f>AW37+AX37</f>
        <v>0</v>
      </c>
      <c r="AW37" s="24">
        <f>F37*AO37</f>
        <v>0</v>
      </c>
      <c r="AX37" s="24">
        <f>F37*AP37</f>
        <v>0</v>
      </c>
      <c r="AY37" s="26" t="s">
        <v>105</v>
      </c>
      <c r="AZ37" s="26" t="s">
        <v>106</v>
      </c>
      <c r="BA37" s="10" t="s">
        <v>59</v>
      </c>
      <c r="BC37" s="24">
        <f>AW37+AX37</f>
        <v>0</v>
      </c>
      <c r="BD37" s="24">
        <f>G37/(100-BE37)*100</f>
        <v>0</v>
      </c>
      <c r="BE37" s="24">
        <v>0</v>
      </c>
      <c r="BF37" s="24">
        <f>37</f>
        <v>37</v>
      </c>
      <c r="BH37" s="24">
        <f>F37*AO37</f>
        <v>0</v>
      </c>
      <c r="BI37" s="24">
        <f>F37*AP37</f>
        <v>0</v>
      </c>
      <c r="BJ37" s="24">
        <f>F37*G37</f>
        <v>0</v>
      </c>
      <c r="BK37" s="24"/>
      <c r="BL37" s="24">
        <v>762</v>
      </c>
      <c r="BW37" s="24">
        <v>21</v>
      </c>
      <c r="BX37" s="4" t="s">
        <v>114</v>
      </c>
    </row>
    <row r="38" spans="1:76">
      <c r="A38" s="27"/>
      <c r="C38" s="28" t="s">
        <v>115</v>
      </c>
      <c r="D38" s="28" t="s">
        <v>51</v>
      </c>
      <c r="F38" s="29">
        <v>273.8</v>
      </c>
      <c r="K38" s="30"/>
    </row>
    <row r="39" spans="1:76">
      <c r="A39" s="31" t="s">
        <v>51</v>
      </c>
      <c r="B39" s="32" t="s">
        <v>116</v>
      </c>
      <c r="C39" s="89" t="s">
        <v>117</v>
      </c>
      <c r="D39" s="90"/>
      <c r="E39" s="33" t="s">
        <v>4</v>
      </c>
      <c r="F39" s="33" t="s">
        <v>4</v>
      </c>
      <c r="G39" s="33" t="s">
        <v>4</v>
      </c>
      <c r="H39" s="1">
        <f>SUM(H40:H40)</f>
        <v>0</v>
      </c>
      <c r="I39" s="1">
        <f>SUM(I40:I40)</f>
        <v>0</v>
      </c>
      <c r="J39" s="1">
        <f>SUM(J40:J40)</f>
        <v>0</v>
      </c>
      <c r="K39" s="34" t="s">
        <v>51</v>
      </c>
      <c r="AI39" s="10" t="s">
        <v>51</v>
      </c>
      <c r="AS39" s="1">
        <f>SUM(AJ40:AJ40)</f>
        <v>0</v>
      </c>
      <c r="AT39" s="1">
        <f>SUM(AK40:AK40)</f>
        <v>0</v>
      </c>
      <c r="AU39" s="1">
        <f>SUM(AL40:AL40)</f>
        <v>0</v>
      </c>
    </row>
    <row r="40" spans="1:76">
      <c r="A40" s="2" t="s">
        <v>118</v>
      </c>
      <c r="B40" s="3" t="s">
        <v>119</v>
      </c>
      <c r="C40" s="73" t="s">
        <v>120</v>
      </c>
      <c r="D40" s="68"/>
      <c r="E40" s="3" t="s">
        <v>110</v>
      </c>
      <c r="F40" s="24">
        <v>732.6</v>
      </c>
      <c r="G40" s="24">
        <v>0</v>
      </c>
      <c r="H40" s="24">
        <f>F40*AO40</f>
        <v>0</v>
      </c>
      <c r="I40" s="24">
        <f>F40*AP40</f>
        <v>0</v>
      </c>
      <c r="J40" s="24">
        <f>F40*G40</f>
        <v>0</v>
      </c>
      <c r="K40" s="25" t="s">
        <v>67</v>
      </c>
      <c r="Z40" s="24">
        <f>IF(AQ40="5",BJ40,0)</f>
        <v>0</v>
      </c>
      <c r="AB40" s="24">
        <f>IF(AQ40="1",BH40,0)</f>
        <v>0</v>
      </c>
      <c r="AC40" s="24">
        <f>IF(AQ40="1",BI40,0)</f>
        <v>0</v>
      </c>
      <c r="AD40" s="24">
        <f>IF(AQ40="7",BH40,0)</f>
        <v>0</v>
      </c>
      <c r="AE40" s="24">
        <f>IF(AQ40="7",BI40,0)</f>
        <v>0</v>
      </c>
      <c r="AF40" s="24">
        <f>IF(AQ40="2",BH40,0)</f>
        <v>0</v>
      </c>
      <c r="AG40" s="24">
        <f>IF(AQ40="2",BI40,0)</f>
        <v>0</v>
      </c>
      <c r="AH40" s="24">
        <f>IF(AQ40="0",BJ40,0)</f>
        <v>0</v>
      </c>
      <c r="AI40" s="10" t="s">
        <v>51</v>
      </c>
      <c r="AJ40" s="24">
        <f>IF(AN40=0,J40,0)</f>
        <v>0</v>
      </c>
      <c r="AK40" s="24">
        <f>IF(AN40=12,J40,0)</f>
        <v>0</v>
      </c>
      <c r="AL40" s="24">
        <f>IF(AN40=21,J40,0)</f>
        <v>0</v>
      </c>
      <c r="AN40" s="24">
        <v>21</v>
      </c>
      <c r="AO40" s="24">
        <f>G40*0</f>
        <v>0</v>
      </c>
      <c r="AP40" s="24">
        <f>G40*(1-0)</f>
        <v>0</v>
      </c>
      <c r="AQ40" s="26" t="s">
        <v>79</v>
      </c>
      <c r="AV40" s="24">
        <f>AW40+AX40</f>
        <v>0</v>
      </c>
      <c r="AW40" s="24">
        <f>F40*AO40</f>
        <v>0</v>
      </c>
      <c r="AX40" s="24">
        <f>F40*AP40</f>
        <v>0</v>
      </c>
      <c r="AY40" s="26" t="s">
        <v>121</v>
      </c>
      <c r="AZ40" s="26" t="s">
        <v>106</v>
      </c>
      <c r="BA40" s="10" t="s">
        <v>59</v>
      </c>
      <c r="BC40" s="24">
        <f>AW40+AX40</f>
        <v>0</v>
      </c>
      <c r="BD40" s="24">
        <f>G40/(100-BE40)*100</f>
        <v>0</v>
      </c>
      <c r="BE40" s="24">
        <v>0</v>
      </c>
      <c r="BF40" s="24">
        <f>40</f>
        <v>40</v>
      </c>
      <c r="BH40" s="24">
        <f>F40*AO40</f>
        <v>0</v>
      </c>
      <c r="BI40" s="24">
        <f>F40*AP40</f>
        <v>0</v>
      </c>
      <c r="BJ40" s="24">
        <f>F40*G40</f>
        <v>0</v>
      </c>
      <c r="BK40" s="24"/>
      <c r="BL40" s="24">
        <v>763</v>
      </c>
      <c r="BW40" s="24">
        <v>21</v>
      </c>
      <c r="BX40" s="4" t="s">
        <v>120</v>
      </c>
    </row>
    <row r="41" spans="1:76">
      <c r="A41" s="27"/>
      <c r="C41" s="28" t="s">
        <v>122</v>
      </c>
      <c r="D41" s="28" t="s">
        <v>51</v>
      </c>
      <c r="F41" s="29">
        <v>732.6</v>
      </c>
      <c r="K41" s="30"/>
    </row>
    <row r="42" spans="1:76">
      <c r="A42" s="31" t="s">
        <v>51</v>
      </c>
      <c r="B42" s="32" t="s">
        <v>123</v>
      </c>
      <c r="C42" s="89" t="s">
        <v>124</v>
      </c>
      <c r="D42" s="90"/>
      <c r="E42" s="33" t="s">
        <v>4</v>
      </c>
      <c r="F42" s="33" t="s">
        <v>4</v>
      </c>
      <c r="G42" s="33" t="s">
        <v>4</v>
      </c>
      <c r="H42" s="1">
        <f>SUM(H43:H64)</f>
        <v>0</v>
      </c>
      <c r="I42" s="1">
        <f>SUM(I43:I64)</f>
        <v>0</v>
      </c>
      <c r="J42" s="1">
        <f>SUM(J43:J64)</f>
        <v>0</v>
      </c>
      <c r="K42" s="34" t="s">
        <v>51</v>
      </c>
      <c r="AI42" s="10" t="s">
        <v>51</v>
      </c>
      <c r="AS42" s="1">
        <f>SUM(AJ43:AJ64)</f>
        <v>0</v>
      </c>
      <c r="AT42" s="1">
        <f>SUM(AK43:AK64)</f>
        <v>0</v>
      </c>
      <c r="AU42" s="1">
        <f>SUM(AL43:AL64)</f>
        <v>0</v>
      </c>
    </row>
    <row r="43" spans="1:76">
      <c r="A43" s="2" t="s">
        <v>125</v>
      </c>
      <c r="B43" s="3" t="s">
        <v>126</v>
      </c>
      <c r="C43" s="73" t="s">
        <v>127</v>
      </c>
      <c r="D43" s="68"/>
      <c r="E43" s="3" t="s">
        <v>78</v>
      </c>
      <c r="F43" s="24">
        <v>861.76400000000001</v>
      </c>
      <c r="G43" s="24">
        <v>0</v>
      </c>
      <c r="H43" s="24">
        <f>F43*AO43</f>
        <v>0</v>
      </c>
      <c r="I43" s="24">
        <f>F43*AP43</f>
        <v>0</v>
      </c>
      <c r="J43" s="24">
        <f>F43*G43</f>
        <v>0</v>
      </c>
      <c r="K43" s="25" t="s">
        <v>67</v>
      </c>
      <c r="Z43" s="24">
        <f>IF(AQ43="5",BJ43,0)</f>
        <v>0</v>
      </c>
      <c r="AB43" s="24">
        <f>IF(AQ43="1",BH43,0)</f>
        <v>0</v>
      </c>
      <c r="AC43" s="24">
        <f>IF(AQ43="1",BI43,0)</f>
        <v>0</v>
      </c>
      <c r="AD43" s="24">
        <f>IF(AQ43="7",BH43,0)</f>
        <v>0</v>
      </c>
      <c r="AE43" s="24">
        <f>IF(AQ43="7",BI43,0)</f>
        <v>0</v>
      </c>
      <c r="AF43" s="24">
        <f>IF(AQ43="2",BH43,0)</f>
        <v>0</v>
      </c>
      <c r="AG43" s="24">
        <f>IF(AQ43="2",BI43,0)</f>
        <v>0</v>
      </c>
      <c r="AH43" s="24">
        <f>IF(AQ43="0",BJ43,0)</f>
        <v>0</v>
      </c>
      <c r="AI43" s="10" t="s">
        <v>51</v>
      </c>
      <c r="AJ43" s="24">
        <f>IF(AN43=0,J43,0)</f>
        <v>0</v>
      </c>
      <c r="AK43" s="24">
        <f>IF(AN43=12,J43,0)</f>
        <v>0</v>
      </c>
      <c r="AL43" s="24">
        <f>IF(AN43=21,J43,0)</f>
        <v>0</v>
      </c>
      <c r="AN43" s="24">
        <v>21</v>
      </c>
      <c r="AO43" s="24">
        <f>G43*0</f>
        <v>0</v>
      </c>
      <c r="AP43" s="24">
        <f>G43*(1-0)</f>
        <v>0</v>
      </c>
      <c r="AQ43" s="26" t="s">
        <v>79</v>
      </c>
      <c r="AV43" s="24">
        <f>AW43+AX43</f>
        <v>0</v>
      </c>
      <c r="AW43" s="24">
        <f>F43*AO43</f>
        <v>0</v>
      </c>
      <c r="AX43" s="24">
        <f>F43*AP43</f>
        <v>0</v>
      </c>
      <c r="AY43" s="26" t="s">
        <v>128</v>
      </c>
      <c r="AZ43" s="26" t="s">
        <v>106</v>
      </c>
      <c r="BA43" s="10" t="s">
        <v>59</v>
      </c>
      <c r="BC43" s="24">
        <f>AW43+AX43</f>
        <v>0</v>
      </c>
      <c r="BD43" s="24">
        <f>G43/(100-BE43)*100</f>
        <v>0</v>
      </c>
      <c r="BE43" s="24">
        <v>0</v>
      </c>
      <c r="BF43" s="24">
        <f>43</f>
        <v>43</v>
      </c>
      <c r="BH43" s="24">
        <f>F43*AO43</f>
        <v>0</v>
      </c>
      <c r="BI43" s="24">
        <f>F43*AP43</f>
        <v>0</v>
      </c>
      <c r="BJ43" s="24">
        <f>F43*G43</f>
        <v>0</v>
      </c>
      <c r="BK43" s="24"/>
      <c r="BL43" s="24">
        <v>764</v>
      </c>
      <c r="BW43" s="24">
        <v>21</v>
      </c>
      <c r="BX43" s="4" t="s">
        <v>127</v>
      </c>
    </row>
    <row r="44" spans="1:76">
      <c r="A44" s="27"/>
      <c r="C44" s="28" t="s">
        <v>129</v>
      </c>
      <c r="D44" s="28" t="s">
        <v>51</v>
      </c>
      <c r="F44" s="29">
        <v>572.03300000000002</v>
      </c>
      <c r="K44" s="30"/>
    </row>
    <row r="45" spans="1:76">
      <c r="A45" s="27"/>
      <c r="C45" s="28" t="s">
        <v>130</v>
      </c>
      <c r="D45" s="28" t="s">
        <v>51</v>
      </c>
      <c r="F45" s="29">
        <v>289.73099999999999</v>
      </c>
      <c r="K45" s="30"/>
    </row>
    <row r="46" spans="1:76">
      <c r="A46" s="2" t="s">
        <v>131</v>
      </c>
      <c r="B46" s="3" t="s">
        <v>132</v>
      </c>
      <c r="C46" s="73" t="s">
        <v>133</v>
      </c>
      <c r="D46" s="68"/>
      <c r="E46" s="3" t="s">
        <v>110</v>
      </c>
      <c r="F46" s="24">
        <v>44.914999999999999</v>
      </c>
      <c r="G46" s="24">
        <v>0</v>
      </c>
      <c r="H46" s="24">
        <f>F46*AO46</f>
        <v>0</v>
      </c>
      <c r="I46" s="24">
        <f>F46*AP46</f>
        <v>0</v>
      </c>
      <c r="J46" s="24">
        <f>F46*G46</f>
        <v>0</v>
      </c>
      <c r="K46" s="25" t="s">
        <v>67</v>
      </c>
      <c r="Z46" s="24">
        <f>IF(AQ46="5",BJ46,0)</f>
        <v>0</v>
      </c>
      <c r="AB46" s="24">
        <f>IF(AQ46="1",BH46,0)</f>
        <v>0</v>
      </c>
      <c r="AC46" s="24">
        <f>IF(AQ46="1",BI46,0)</f>
        <v>0</v>
      </c>
      <c r="AD46" s="24">
        <f>IF(AQ46="7",BH46,0)</f>
        <v>0</v>
      </c>
      <c r="AE46" s="24">
        <f>IF(AQ46="7",BI46,0)</f>
        <v>0</v>
      </c>
      <c r="AF46" s="24">
        <f>IF(AQ46="2",BH46,0)</f>
        <v>0</v>
      </c>
      <c r="AG46" s="24">
        <f>IF(AQ46="2",BI46,0)</f>
        <v>0</v>
      </c>
      <c r="AH46" s="24">
        <f>IF(AQ46="0",BJ46,0)</f>
        <v>0</v>
      </c>
      <c r="AI46" s="10" t="s">
        <v>51</v>
      </c>
      <c r="AJ46" s="24">
        <f>IF(AN46=0,J46,0)</f>
        <v>0</v>
      </c>
      <c r="AK46" s="24">
        <f>IF(AN46=12,J46,0)</f>
        <v>0</v>
      </c>
      <c r="AL46" s="24">
        <f>IF(AN46=21,J46,0)</f>
        <v>0</v>
      </c>
      <c r="AN46" s="24">
        <v>21</v>
      </c>
      <c r="AO46" s="24">
        <f>G46*0</f>
        <v>0</v>
      </c>
      <c r="AP46" s="24">
        <f>G46*(1-0)</f>
        <v>0</v>
      </c>
      <c r="AQ46" s="26" t="s">
        <v>79</v>
      </c>
      <c r="AV46" s="24">
        <f>AW46+AX46</f>
        <v>0</v>
      </c>
      <c r="AW46" s="24">
        <f>F46*AO46</f>
        <v>0</v>
      </c>
      <c r="AX46" s="24">
        <f>F46*AP46</f>
        <v>0</v>
      </c>
      <c r="AY46" s="26" t="s">
        <v>128</v>
      </c>
      <c r="AZ46" s="26" t="s">
        <v>106</v>
      </c>
      <c r="BA46" s="10" t="s">
        <v>59</v>
      </c>
      <c r="BC46" s="24">
        <f>AW46+AX46</f>
        <v>0</v>
      </c>
      <c r="BD46" s="24">
        <f>G46/(100-BE46)*100</f>
        <v>0</v>
      </c>
      <c r="BE46" s="24">
        <v>0</v>
      </c>
      <c r="BF46" s="24">
        <f>46</f>
        <v>46</v>
      </c>
      <c r="BH46" s="24">
        <f>F46*AO46</f>
        <v>0</v>
      </c>
      <c r="BI46" s="24">
        <f>F46*AP46</f>
        <v>0</v>
      </c>
      <c r="BJ46" s="24">
        <f>F46*G46</f>
        <v>0</v>
      </c>
      <c r="BK46" s="24"/>
      <c r="BL46" s="24">
        <v>764</v>
      </c>
      <c r="BW46" s="24">
        <v>21</v>
      </c>
      <c r="BX46" s="4" t="s">
        <v>133</v>
      </c>
    </row>
    <row r="47" spans="1:76">
      <c r="A47" s="27"/>
      <c r="C47" s="28" t="s">
        <v>134</v>
      </c>
      <c r="D47" s="28" t="s">
        <v>51</v>
      </c>
      <c r="F47" s="29">
        <v>44.914999999999999</v>
      </c>
      <c r="K47" s="30"/>
    </row>
    <row r="48" spans="1:76">
      <c r="A48" s="2" t="s">
        <v>135</v>
      </c>
      <c r="B48" s="3" t="s">
        <v>136</v>
      </c>
      <c r="C48" s="73" t="s">
        <v>137</v>
      </c>
      <c r="D48" s="68"/>
      <c r="E48" s="3" t="s">
        <v>110</v>
      </c>
      <c r="F48" s="24">
        <v>37.145000000000003</v>
      </c>
      <c r="G48" s="24">
        <v>0</v>
      </c>
      <c r="H48" s="24">
        <f>F48*AO48</f>
        <v>0</v>
      </c>
      <c r="I48" s="24">
        <f>F48*AP48</f>
        <v>0</v>
      </c>
      <c r="J48" s="24">
        <f>F48*G48</f>
        <v>0</v>
      </c>
      <c r="K48" s="25" t="s">
        <v>67</v>
      </c>
      <c r="Z48" s="24">
        <f>IF(AQ48="5",BJ48,0)</f>
        <v>0</v>
      </c>
      <c r="AB48" s="24">
        <f>IF(AQ48="1",BH48,0)</f>
        <v>0</v>
      </c>
      <c r="AC48" s="24">
        <f>IF(AQ48="1",BI48,0)</f>
        <v>0</v>
      </c>
      <c r="AD48" s="24">
        <f>IF(AQ48="7",BH48,0)</f>
        <v>0</v>
      </c>
      <c r="AE48" s="24">
        <f>IF(AQ48="7",BI48,0)</f>
        <v>0</v>
      </c>
      <c r="AF48" s="24">
        <f>IF(AQ48="2",BH48,0)</f>
        <v>0</v>
      </c>
      <c r="AG48" s="24">
        <f>IF(AQ48="2",BI48,0)</f>
        <v>0</v>
      </c>
      <c r="AH48" s="24">
        <f>IF(AQ48="0",BJ48,0)</f>
        <v>0</v>
      </c>
      <c r="AI48" s="10" t="s">
        <v>51</v>
      </c>
      <c r="AJ48" s="24">
        <f>IF(AN48=0,J48,0)</f>
        <v>0</v>
      </c>
      <c r="AK48" s="24">
        <f>IF(AN48=12,J48,0)</f>
        <v>0</v>
      </c>
      <c r="AL48" s="24">
        <f>IF(AN48=21,J48,0)</f>
        <v>0</v>
      </c>
      <c r="AN48" s="24">
        <v>21</v>
      </c>
      <c r="AO48" s="24">
        <f>G48*0</f>
        <v>0</v>
      </c>
      <c r="AP48" s="24">
        <f>G48*(1-0)</f>
        <v>0</v>
      </c>
      <c r="AQ48" s="26" t="s">
        <v>79</v>
      </c>
      <c r="AV48" s="24">
        <f>AW48+AX48</f>
        <v>0</v>
      </c>
      <c r="AW48" s="24">
        <f>F48*AO48</f>
        <v>0</v>
      </c>
      <c r="AX48" s="24">
        <f>F48*AP48</f>
        <v>0</v>
      </c>
      <c r="AY48" s="26" t="s">
        <v>128</v>
      </c>
      <c r="AZ48" s="26" t="s">
        <v>106</v>
      </c>
      <c r="BA48" s="10" t="s">
        <v>59</v>
      </c>
      <c r="BC48" s="24">
        <f>AW48+AX48</f>
        <v>0</v>
      </c>
      <c r="BD48" s="24">
        <f>G48/(100-BE48)*100</f>
        <v>0</v>
      </c>
      <c r="BE48" s="24">
        <v>0</v>
      </c>
      <c r="BF48" s="24">
        <f>48</f>
        <v>48</v>
      </c>
      <c r="BH48" s="24">
        <f>F48*AO48</f>
        <v>0</v>
      </c>
      <c r="BI48" s="24">
        <f>F48*AP48</f>
        <v>0</v>
      </c>
      <c r="BJ48" s="24">
        <f>F48*G48</f>
        <v>0</v>
      </c>
      <c r="BK48" s="24"/>
      <c r="BL48" s="24">
        <v>764</v>
      </c>
      <c r="BW48" s="24">
        <v>21</v>
      </c>
      <c r="BX48" s="4" t="s">
        <v>137</v>
      </c>
    </row>
    <row r="49" spans="1:76">
      <c r="A49" s="27"/>
      <c r="C49" s="28" t="s">
        <v>138</v>
      </c>
      <c r="D49" s="28" t="s">
        <v>51</v>
      </c>
      <c r="F49" s="29">
        <v>37.145000000000003</v>
      </c>
      <c r="K49" s="30"/>
    </row>
    <row r="50" spans="1:76">
      <c r="A50" s="2" t="s">
        <v>139</v>
      </c>
      <c r="B50" s="3" t="s">
        <v>140</v>
      </c>
      <c r="C50" s="73" t="s">
        <v>141</v>
      </c>
      <c r="D50" s="68"/>
      <c r="E50" s="3" t="s">
        <v>110</v>
      </c>
      <c r="F50" s="24">
        <v>37.145000000000003</v>
      </c>
      <c r="G50" s="24">
        <v>0</v>
      </c>
      <c r="H50" s="24">
        <f>F50*AO50</f>
        <v>0</v>
      </c>
      <c r="I50" s="24">
        <f>F50*AP50</f>
        <v>0</v>
      </c>
      <c r="J50" s="24">
        <f>F50*G50</f>
        <v>0</v>
      </c>
      <c r="K50" s="25" t="s">
        <v>67</v>
      </c>
      <c r="Z50" s="24">
        <f>IF(AQ50="5",BJ50,0)</f>
        <v>0</v>
      </c>
      <c r="AB50" s="24">
        <f>IF(AQ50="1",BH50,0)</f>
        <v>0</v>
      </c>
      <c r="AC50" s="24">
        <f>IF(AQ50="1",BI50,0)</f>
        <v>0</v>
      </c>
      <c r="AD50" s="24">
        <f>IF(AQ50="7",BH50,0)</f>
        <v>0</v>
      </c>
      <c r="AE50" s="24">
        <f>IF(AQ50="7",BI50,0)</f>
        <v>0</v>
      </c>
      <c r="AF50" s="24">
        <f>IF(AQ50="2",BH50,0)</f>
        <v>0</v>
      </c>
      <c r="AG50" s="24">
        <f>IF(AQ50="2",BI50,0)</f>
        <v>0</v>
      </c>
      <c r="AH50" s="24">
        <f>IF(AQ50="0",BJ50,0)</f>
        <v>0</v>
      </c>
      <c r="AI50" s="10" t="s">
        <v>51</v>
      </c>
      <c r="AJ50" s="24">
        <f>IF(AN50=0,J50,0)</f>
        <v>0</v>
      </c>
      <c r="AK50" s="24">
        <f>IF(AN50=12,J50,0)</f>
        <v>0</v>
      </c>
      <c r="AL50" s="24">
        <f>IF(AN50=21,J50,0)</f>
        <v>0</v>
      </c>
      <c r="AN50" s="24">
        <v>21</v>
      </c>
      <c r="AO50" s="24">
        <f>G50*0</f>
        <v>0</v>
      </c>
      <c r="AP50" s="24">
        <f>G50*(1-0)</f>
        <v>0</v>
      </c>
      <c r="AQ50" s="26" t="s">
        <v>79</v>
      </c>
      <c r="AV50" s="24">
        <f>AW50+AX50</f>
        <v>0</v>
      </c>
      <c r="AW50" s="24">
        <f>F50*AO50</f>
        <v>0</v>
      </c>
      <c r="AX50" s="24">
        <f>F50*AP50</f>
        <v>0</v>
      </c>
      <c r="AY50" s="26" t="s">
        <v>128</v>
      </c>
      <c r="AZ50" s="26" t="s">
        <v>106</v>
      </c>
      <c r="BA50" s="10" t="s">
        <v>59</v>
      </c>
      <c r="BC50" s="24">
        <f>AW50+AX50</f>
        <v>0</v>
      </c>
      <c r="BD50" s="24">
        <f>G50/(100-BE50)*100</f>
        <v>0</v>
      </c>
      <c r="BE50" s="24">
        <v>0</v>
      </c>
      <c r="BF50" s="24">
        <f>50</f>
        <v>50</v>
      </c>
      <c r="BH50" s="24">
        <f>F50*AO50</f>
        <v>0</v>
      </c>
      <c r="BI50" s="24">
        <f>F50*AP50</f>
        <v>0</v>
      </c>
      <c r="BJ50" s="24">
        <f>F50*G50</f>
        <v>0</v>
      </c>
      <c r="BK50" s="24"/>
      <c r="BL50" s="24">
        <v>764</v>
      </c>
      <c r="BW50" s="24">
        <v>21</v>
      </c>
      <c r="BX50" s="4" t="s">
        <v>141</v>
      </c>
    </row>
    <row r="51" spans="1:76">
      <c r="A51" s="27"/>
      <c r="C51" s="28" t="s">
        <v>138</v>
      </c>
      <c r="D51" s="28" t="s">
        <v>51</v>
      </c>
      <c r="F51" s="29">
        <v>37.145000000000003</v>
      </c>
      <c r="K51" s="30"/>
    </row>
    <row r="52" spans="1:76">
      <c r="A52" s="2" t="s">
        <v>142</v>
      </c>
      <c r="B52" s="3" t="s">
        <v>143</v>
      </c>
      <c r="C52" s="73" t="s">
        <v>144</v>
      </c>
      <c r="D52" s="68"/>
      <c r="E52" s="3" t="s">
        <v>110</v>
      </c>
      <c r="F52" s="24">
        <v>4.16</v>
      </c>
      <c r="G52" s="24">
        <v>0</v>
      </c>
      <c r="H52" s="24">
        <f>F52*AO52</f>
        <v>0</v>
      </c>
      <c r="I52" s="24">
        <f>F52*AP52</f>
        <v>0</v>
      </c>
      <c r="J52" s="24">
        <f>F52*G52</f>
        <v>0</v>
      </c>
      <c r="K52" s="25" t="s">
        <v>67</v>
      </c>
      <c r="Z52" s="24">
        <f>IF(AQ52="5",BJ52,0)</f>
        <v>0</v>
      </c>
      <c r="AB52" s="24">
        <f>IF(AQ52="1",BH52,0)</f>
        <v>0</v>
      </c>
      <c r="AC52" s="24">
        <f>IF(AQ52="1",BI52,0)</f>
        <v>0</v>
      </c>
      <c r="AD52" s="24">
        <f>IF(AQ52="7",BH52,0)</f>
        <v>0</v>
      </c>
      <c r="AE52" s="24">
        <f>IF(AQ52="7",BI52,0)</f>
        <v>0</v>
      </c>
      <c r="AF52" s="24">
        <f>IF(AQ52="2",BH52,0)</f>
        <v>0</v>
      </c>
      <c r="AG52" s="24">
        <f>IF(AQ52="2",BI52,0)</f>
        <v>0</v>
      </c>
      <c r="AH52" s="24">
        <f>IF(AQ52="0",BJ52,0)</f>
        <v>0</v>
      </c>
      <c r="AI52" s="10" t="s">
        <v>51</v>
      </c>
      <c r="AJ52" s="24">
        <f>IF(AN52=0,J52,0)</f>
        <v>0</v>
      </c>
      <c r="AK52" s="24">
        <f>IF(AN52=12,J52,0)</f>
        <v>0</v>
      </c>
      <c r="AL52" s="24">
        <f>IF(AN52=21,J52,0)</f>
        <v>0</v>
      </c>
      <c r="AN52" s="24">
        <v>21</v>
      </c>
      <c r="AO52" s="24">
        <f>G52*0</f>
        <v>0</v>
      </c>
      <c r="AP52" s="24">
        <f>G52*(1-0)</f>
        <v>0</v>
      </c>
      <c r="AQ52" s="26" t="s">
        <v>79</v>
      </c>
      <c r="AV52" s="24">
        <f>AW52+AX52</f>
        <v>0</v>
      </c>
      <c r="AW52" s="24">
        <f>F52*AO52</f>
        <v>0</v>
      </c>
      <c r="AX52" s="24">
        <f>F52*AP52</f>
        <v>0</v>
      </c>
      <c r="AY52" s="26" t="s">
        <v>128</v>
      </c>
      <c r="AZ52" s="26" t="s">
        <v>106</v>
      </c>
      <c r="BA52" s="10" t="s">
        <v>59</v>
      </c>
      <c r="BC52" s="24">
        <f>AW52+AX52</f>
        <v>0</v>
      </c>
      <c r="BD52" s="24">
        <f>G52/(100-BE52)*100</f>
        <v>0</v>
      </c>
      <c r="BE52" s="24">
        <v>0</v>
      </c>
      <c r="BF52" s="24">
        <f>52</f>
        <v>52</v>
      </c>
      <c r="BH52" s="24">
        <f>F52*AO52</f>
        <v>0</v>
      </c>
      <c r="BI52" s="24">
        <f>F52*AP52</f>
        <v>0</v>
      </c>
      <c r="BJ52" s="24">
        <f>F52*G52</f>
        <v>0</v>
      </c>
      <c r="BK52" s="24"/>
      <c r="BL52" s="24">
        <v>764</v>
      </c>
      <c r="BW52" s="24">
        <v>21</v>
      </c>
      <c r="BX52" s="4" t="s">
        <v>144</v>
      </c>
    </row>
    <row r="53" spans="1:76">
      <c r="A53" s="27"/>
      <c r="C53" s="28" t="s">
        <v>145</v>
      </c>
      <c r="D53" s="28" t="s">
        <v>51</v>
      </c>
      <c r="F53" s="29">
        <v>4.16</v>
      </c>
      <c r="K53" s="30"/>
    </row>
    <row r="54" spans="1:76">
      <c r="A54" s="2" t="s">
        <v>61</v>
      </c>
      <c r="B54" s="3" t="s">
        <v>146</v>
      </c>
      <c r="C54" s="73" t="s">
        <v>147</v>
      </c>
      <c r="D54" s="68"/>
      <c r="E54" s="3" t="s">
        <v>78</v>
      </c>
      <c r="F54" s="24">
        <v>2</v>
      </c>
      <c r="G54" s="24">
        <v>0</v>
      </c>
      <c r="H54" s="24">
        <f>F54*AO54</f>
        <v>0</v>
      </c>
      <c r="I54" s="24">
        <f>F54*AP54</f>
        <v>0</v>
      </c>
      <c r="J54" s="24">
        <f>F54*G54</f>
        <v>0</v>
      </c>
      <c r="K54" s="25" t="s">
        <v>67</v>
      </c>
      <c r="Z54" s="24">
        <f>IF(AQ54="5",BJ54,0)</f>
        <v>0</v>
      </c>
      <c r="AB54" s="24">
        <f>IF(AQ54="1",BH54,0)</f>
        <v>0</v>
      </c>
      <c r="AC54" s="24">
        <f>IF(AQ54="1",BI54,0)</f>
        <v>0</v>
      </c>
      <c r="AD54" s="24">
        <f>IF(AQ54="7",BH54,0)</f>
        <v>0</v>
      </c>
      <c r="AE54" s="24">
        <f>IF(AQ54="7",BI54,0)</f>
        <v>0</v>
      </c>
      <c r="AF54" s="24">
        <f>IF(AQ54="2",BH54,0)</f>
        <v>0</v>
      </c>
      <c r="AG54" s="24">
        <f>IF(AQ54="2",BI54,0)</f>
        <v>0</v>
      </c>
      <c r="AH54" s="24">
        <f>IF(AQ54="0",BJ54,0)</f>
        <v>0</v>
      </c>
      <c r="AI54" s="10" t="s">
        <v>51</v>
      </c>
      <c r="AJ54" s="24">
        <f>IF(AN54=0,J54,0)</f>
        <v>0</v>
      </c>
      <c r="AK54" s="24">
        <f>IF(AN54=12,J54,0)</f>
        <v>0</v>
      </c>
      <c r="AL54" s="24">
        <f>IF(AN54=21,J54,0)</f>
        <v>0</v>
      </c>
      <c r="AN54" s="24">
        <v>21</v>
      </c>
      <c r="AO54" s="24">
        <f>G54*0</f>
        <v>0</v>
      </c>
      <c r="AP54" s="24">
        <f>G54*(1-0)</f>
        <v>0</v>
      </c>
      <c r="AQ54" s="26" t="s">
        <v>79</v>
      </c>
      <c r="AV54" s="24">
        <f>AW54+AX54</f>
        <v>0</v>
      </c>
      <c r="AW54" s="24">
        <f>F54*AO54</f>
        <v>0</v>
      </c>
      <c r="AX54" s="24">
        <f>F54*AP54</f>
        <v>0</v>
      </c>
      <c r="AY54" s="26" t="s">
        <v>128</v>
      </c>
      <c r="AZ54" s="26" t="s">
        <v>106</v>
      </c>
      <c r="BA54" s="10" t="s">
        <v>59</v>
      </c>
      <c r="BC54" s="24">
        <f>AW54+AX54</f>
        <v>0</v>
      </c>
      <c r="BD54" s="24">
        <f>G54/(100-BE54)*100</f>
        <v>0</v>
      </c>
      <c r="BE54" s="24">
        <v>0</v>
      </c>
      <c r="BF54" s="24">
        <f>54</f>
        <v>54</v>
      </c>
      <c r="BH54" s="24">
        <f>F54*AO54</f>
        <v>0</v>
      </c>
      <c r="BI54" s="24">
        <f>F54*AP54</f>
        <v>0</v>
      </c>
      <c r="BJ54" s="24">
        <f>F54*G54</f>
        <v>0</v>
      </c>
      <c r="BK54" s="24"/>
      <c r="BL54" s="24">
        <v>764</v>
      </c>
      <c r="BW54" s="24">
        <v>21</v>
      </c>
      <c r="BX54" s="4" t="s">
        <v>147</v>
      </c>
    </row>
    <row r="55" spans="1:76">
      <c r="A55" s="27"/>
      <c r="C55" s="28" t="s">
        <v>63</v>
      </c>
      <c r="D55" s="28" t="s">
        <v>51</v>
      </c>
      <c r="F55" s="29">
        <v>2</v>
      </c>
      <c r="K55" s="30"/>
    </row>
    <row r="56" spans="1:76">
      <c r="A56" s="2" t="s">
        <v>148</v>
      </c>
      <c r="B56" s="3" t="s">
        <v>149</v>
      </c>
      <c r="C56" s="73" t="s">
        <v>150</v>
      </c>
      <c r="D56" s="68"/>
      <c r="E56" s="3" t="s">
        <v>151</v>
      </c>
      <c r="F56" s="24">
        <v>6</v>
      </c>
      <c r="G56" s="24">
        <v>0</v>
      </c>
      <c r="H56" s="24">
        <f>F56*AO56</f>
        <v>0</v>
      </c>
      <c r="I56" s="24">
        <f>F56*AP56</f>
        <v>0</v>
      </c>
      <c r="J56" s="24">
        <f>F56*G56</f>
        <v>0</v>
      </c>
      <c r="K56" s="25" t="s">
        <v>67</v>
      </c>
      <c r="Z56" s="24">
        <f>IF(AQ56="5",BJ56,0)</f>
        <v>0</v>
      </c>
      <c r="AB56" s="24">
        <f>IF(AQ56="1",BH56,0)</f>
        <v>0</v>
      </c>
      <c r="AC56" s="24">
        <f>IF(AQ56="1",BI56,0)</f>
        <v>0</v>
      </c>
      <c r="AD56" s="24">
        <f>IF(AQ56="7",BH56,0)</f>
        <v>0</v>
      </c>
      <c r="AE56" s="24">
        <f>IF(AQ56="7",BI56,0)</f>
        <v>0</v>
      </c>
      <c r="AF56" s="24">
        <f>IF(AQ56="2",BH56,0)</f>
        <v>0</v>
      </c>
      <c r="AG56" s="24">
        <f>IF(AQ56="2",BI56,0)</f>
        <v>0</v>
      </c>
      <c r="AH56" s="24">
        <f>IF(AQ56="0",BJ56,0)</f>
        <v>0</v>
      </c>
      <c r="AI56" s="10" t="s">
        <v>51</v>
      </c>
      <c r="AJ56" s="24">
        <f>IF(AN56=0,J56,0)</f>
        <v>0</v>
      </c>
      <c r="AK56" s="24">
        <f>IF(AN56=12,J56,0)</f>
        <v>0</v>
      </c>
      <c r="AL56" s="24">
        <f>IF(AN56=21,J56,0)</f>
        <v>0</v>
      </c>
      <c r="AN56" s="24">
        <v>21</v>
      </c>
      <c r="AO56" s="24">
        <f>G56*0</f>
        <v>0</v>
      </c>
      <c r="AP56" s="24">
        <f>G56*(1-0)</f>
        <v>0</v>
      </c>
      <c r="AQ56" s="26" t="s">
        <v>79</v>
      </c>
      <c r="AV56" s="24">
        <f>AW56+AX56</f>
        <v>0</v>
      </c>
      <c r="AW56" s="24">
        <f>F56*AO56</f>
        <v>0</v>
      </c>
      <c r="AX56" s="24">
        <f>F56*AP56</f>
        <v>0</v>
      </c>
      <c r="AY56" s="26" t="s">
        <v>128</v>
      </c>
      <c r="AZ56" s="26" t="s">
        <v>106</v>
      </c>
      <c r="BA56" s="10" t="s">
        <v>59</v>
      </c>
      <c r="BC56" s="24">
        <f>AW56+AX56</f>
        <v>0</v>
      </c>
      <c r="BD56" s="24">
        <f>G56/(100-BE56)*100</f>
        <v>0</v>
      </c>
      <c r="BE56" s="24">
        <v>0</v>
      </c>
      <c r="BF56" s="24">
        <f>56</f>
        <v>56</v>
      </c>
      <c r="BH56" s="24">
        <f>F56*AO56</f>
        <v>0</v>
      </c>
      <c r="BI56" s="24">
        <f>F56*AP56</f>
        <v>0</v>
      </c>
      <c r="BJ56" s="24">
        <f>F56*G56</f>
        <v>0</v>
      </c>
      <c r="BK56" s="24"/>
      <c r="BL56" s="24">
        <v>764</v>
      </c>
      <c r="BW56" s="24">
        <v>21</v>
      </c>
      <c r="BX56" s="4" t="s">
        <v>150</v>
      </c>
    </row>
    <row r="57" spans="1:76">
      <c r="A57" s="27"/>
      <c r="C57" s="28" t="s">
        <v>95</v>
      </c>
      <c r="D57" s="28" t="s">
        <v>51</v>
      </c>
      <c r="F57" s="29">
        <v>6</v>
      </c>
      <c r="K57" s="30"/>
    </row>
    <row r="58" spans="1:76">
      <c r="A58" s="2" t="s">
        <v>152</v>
      </c>
      <c r="B58" s="3" t="s">
        <v>153</v>
      </c>
      <c r="C58" s="73" t="s">
        <v>154</v>
      </c>
      <c r="D58" s="68"/>
      <c r="E58" s="3" t="s">
        <v>110</v>
      </c>
      <c r="F58" s="24">
        <v>27</v>
      </c>
      <c r="G58" s="24">
        <v>0</v>
      </c>
      <c r="H58" s="24">
        <f>F58*AO58</f>
        <v>0</v>
      </c>
      <c r="I58" s="24">
        <f>F58*AP58</f>
        <v>0</v>
      </c>
      <c r="J58" s="24">
        <f>F58*G58</f>
        <v>0</v>
      </c>
      <c r="K58" s="25" t="s">
        <v>67</v>
      </c>
      <c r="Z58" s="24">
        <f>IF(AQ58="5",BJ58,0)</f>
        <v>0</v>
      </c>
      <c r="AB58" s="24">
        <f>IF(AQ58="1",BH58,0)</f>
        <v>0</v>
      </c>
      <c r="AC58" s="24">
        <f>IF(AQ58="1",BI58,0)</f>
        <v>0</v>
      </c>
      <c r="AD58" s="24">
        <f>IF(AQ58="7",BH58,0)</f>
        <v>0</v>
      </c>
      <c r="AE58" s="24">
        <f>IF(AQ58="7",BI58,0)</f>
        <v>0</v>
      </c>
      <c r="AF58" s="24">
        <f>IF(AQ58="2",BH58,0)</f>
        <v>0</v>
      </c>
      <c r="AG58" s="24">
        <f>IF(AQ58="2",BI58,0)</f>
        <v>0</v>
      </c>
      <c r="AH58" s="24">
        <f>IF(AQ58="0",BJ58,0)</f>
        <v>0</v>
      </c>
      <c r="AI58" s="10" t="s">
        <v>51</v>
      </c>
      <c r="AJ58" s="24">
        <f>IF(AN58=0,J58,0)</f>
        <v>0</v>
      </c>
      <c r="AK58" s="24">
        <f>IF(AN58=12,J58,0)</f>
        <v>0</v>
      </c>
      <c r="AL58" s="24">
        <f>IF(AN58=21,J58,0)</f>
        <v>0</v>
      </c>
      <c r="AN58" s="24">
        <v>21</v>
      </c>
      <c r="AO58" s="24">
        <f>G58*0</f>
        <v>0</v>
      </c>
      <c r="AP58" s="24">
        <f>G58*(1-0)</f>
        <v>0</v>
      </c>
      <c r="AQ58" s="26" t="s">
        <v>79</v>
      </c>
      <c r="AV58" s="24">
        <f>AW58+AX58</f>
        <v>0</v>
      </c>
      <c r="AW58" s="24">
        <f>F58*AO58</f>
        <v>0</v>
      </c>
      <c r="AX58" s="24">
        <f>F58*AP58</f>
        <v>0</v>
      </c>
      <c r="AY58" s="26" t="s">
        <v>128</v>
      </c>
      <c r="AZ58" s="26" t="s">
        <v>106</v>
      </c>
      <c r="BA58" s="10" t="s">
        <v>59</v>
      </c>
      <c r="BC58" s="24">
        <f>AW58+AX58</f>
        <v>0</v>
      </c>
      <c r="BD58" s="24">
        <f>G58/(100-BE58)*100</f>
        <v>0</v>
      </c>
      <c r="BE58" s="24">
        <v>0</v>
      </c>
      <c r="BF58" s="24">
        <f>58</f>
        <v>58</v>
      </c>
      <c r="BH58" s="24">
        <f>F58*AO58</f>
        <v>0</v>
      </c>
      <c r="BI58" s="24">
        <f>F58*AP58</f>
        <v>0</v>
      </c>
      <c r="BJ58" s="24">
        <f>F58*G58</f>
        <v>0</v>
      </c>
      <c r="BK58" s="24"/>
      <c r="BL58" s="24">
        <v>764</v>
      </c>
      <c r="BW58" s="24">
        <v>21</v>
      </c>
      <c r="BX58" s="4" t="s">
        <v>154</v>
      </c>
    </row>
    <row r="59" spans="1:76">
      <c r="A59" s="27"/>
      <c r="C59" s="28" t="s">
        <v>155</v>
      </c>
      <c r="D59" s="28" t="s">
        <v>51</v>
      </c>
      <c r="F59" s="29">
        <v>27</v>
      </c>
      <c r="K59" s="30"/>
    </row>
    <row r="60" spans="1:76">
      <c r="A60" s="2" t="s">
        <v>156</v>
      </c>
      <c r="B60" s="3" t="s">
        <v>157</v>
      </c>
      <c r="C60" s="73" t="s">
        <v>158</v>
      </c>
      <c r="D60" s="68"/>
      <c r="E60" s="3" t="s">
        <v>110</v>
      </c>
      <c r="F60" s="24">
        <v>11.93</v>
      </c>
      <c r="G60" s="24">
        <v>0</v>
      </c>
      <c r="H60" s="24">
        <f>F60*AO60</f>
        <v>0</v>
      </c>
      <c r="I60" s="24">
        <f>F60*AP60</f>
        <v>0</v>
      </c>
      <c r="J60" s="24">
        <f>F60*G60</f>
        <v>0</v>
      </c>
      <c r="K60" s="25" t="s">
        <v>67</v>
      </c>
      <c r="Z60" s="24">
        <f>IF(AQ60="5",BJ60,0)</f>
        <v>0</v>
      </c>
      <c r="AB60" s="24">
        <f>IF(AQ60="1",BH60,0)</f>
        <v>0</v>
      </c>
      <c r="AC60" s="24">
        <f>IF(AQ60="1",BI60,0)</f>
        <v>0</v>
      </c>
      <c r="AD60" s="24">
        <f>IF(AQ60="7",BH60,0)</f>
        <v>0</v>
      </c>
      <c r="AE60" s="24">
        <f>IF(AQ60="7",BI60,0)</f>
        <v>0</v>
      </c>
      <c r="AF60" s="24">
        <f>IF(AQ60="2",BH60,0)</f>
        <v>0</v>
      </c>
      <c r="AG60" s="24">
        <f>IF(AQ60="2",BI60,0)</f>
        <v>0</v>
      </c>
      <c r="AH60" s="24">
        <f>IF(AQ60="0",BJ60,0)</f>
        <v>0</v>
      </c>
      <c r="AI60" s="10" t="s">
        <v>51</v>
      </c>
      <c r="AJ60" s="24">
        <f>IF(AN60=0,J60,0)</f>
        <v>0</v>
      </c>
      <c r="AK60" s="24">
        <f>IF(AN60=12,J60,0)</f>
        <v>0</v>
      </c>
      <c r="AL60" s="24">
        <f>IF(AN60=21,J60,0)</f>
        <v>0</v>
      </c>
      <c r="AN60" s="24">
        <v>21</v>
      </c>
      <c r="AO60" s="24">
        <f>G60*0</f>
        <v>0</v>
      </c>
      <c r="AP60" s="24">
        <f>G60*(1-0)</f>
        <v>0</v>
      </c>
      <c r="AQ60" s="26" t="s">
        <v>79</v>
      </c>
      <c r="AV60" s="24">
        <f>AW60+AX60</f>
        <v>0</v>
      </c>
      <c r="AW60" s="24">
        <f>F60*AO60</f>
        <v>0</v>
      </c>
      <c r="AX60" s="24">
        <f>F60*AP60</f>
        <v>0</v>
      </c>
      <c r="AY60" s="26" t="s">
        <v>128</v>
      </c>
      <c r="AZ60" s="26" t="s">
        <v>106</v>
      </c>
      <c r="BA60" s="10" t="s">
        <v>59</v>
      </c>
      <c r="BC60" s="24">
        <f>AW60+AX60</f>
        <v>0</v>
      </c>
      <c r="BD60" s="24">
        <f>G60/(100-BE60)*100</f>
        <v>0</v>
      </c>
      <c r="BE60" s="24">
        <v>0</v>
      </c>
      <c r="BF60" s="24">
        <f>60</f>
        <v>60</v>
      </c>
      <c r="BH60" s="24">
        <f>F60*AO60</f>
        <v>0</v>
      </c>
      <c r="BI60" s="24">
        <f>F60*AP60</f>
        <v>0</v>
      </c>
      <c r="BJ60" s="24">
        <f>F60*G60</f>
        <v>0</v>
      </c>
      <c r="BK60" s="24"/>
      <c r="BL60" s="24">
        <v>764</v>
      </c>
      <c r="BW60" s="24">
        <v>21</v>
      </c>
      <c r="BX60" s="4" t="s">
        <v>158</v>
      </c>
    </row>
    <row r="61" spans="1:76">
      <c r="A61" s="27"/>
      <c r="C61" s="28" t="s">
        <v>159</v>
      </c>
      <c r="D61" s="28" t="s">
        <v>51</v>
      </c>
      <c r="F61" s="29">
        <v>11.93</v>
      </c>
      <c r="K61" s="30"/>
    </row>
    <row r="62" spans="1:76">
      <c r="A62" s="2" t="s">
        <v>160</v>
      </c>
      <c r="B62" s="3" t="s">
        <v>161</v>
      </c>
      <c r="C62" s="73" t="s">
        <v>162</v>
      </c>
      <c r="D62" s="68"/>
      <c r="E62" s="3" t="s">
        <v>110</v>
      </c>
      <c r="F62" s="24">
        <v>46.4</v>
      </c>
      <c r="G62" s="24">
        <v>0</v>
      </c>
      <c r="H62" s="24">
        <f>F62*AO62</f>
        <v>0</v>
      </c>
      <c r="I62" s="24">
        <f>F62*AP62</f>
        <v>0</v>
      </c>
      <c r="J62" s="24">
        <f>F62*G62</f>
        <v>0</v>
      </c>
      <c r="K62" s="25" t="s">
        <v>67</v>
      </c>
      <c r="Z62" s="24">
        <f>IF(AQ62="5",BJ62,0)</f>
        <v>0</v>
      </c>
      <c r="AB62" s="24">
        <f>IF(AQ62="1",BH62,0)</f>
        <v>0</v>
      </c>
      <c r="AC62" s="24">
        <f>IF(AQ62="1",BI62,0)</f>
        <v>0</v>
      </c>
      <c r="AD62" s="24">
        <f>IF(AQ62="7",BH62,0)</f>
        <v>0</v>
      </c>
      <c r="AE62" s="24">
        <f>IF(AQ62="7",BI62,0)</f>
        <v>0</v>
      </c>
      <c r="AF62" s="24">
        <f>IF(AQ62="2",BH62,0)</f>
        <v>0</v>
      </c>
      <c r="AG62" s="24">
        <f>IF(AQ62="2",BI62,0)</f>
        <v>0</v>
      </c>
      <c r="AH62" s="24">
        <f>IF(AQ62="0",BJ62,0)</f>
        <v>0</v>
      </c>
      <c r="AI62" s="10" t="s">
        <v>51</v>
      </c>
      <c r="AJ62" s="24">
        <f>IF(AN62=0,J62,0)</f>
        <v>0</v>
      </c>
      <c r="AK62" s="24">
        <f>IF(AN62=12,J62,0)</f>
        <v>0</v>
      </c>
      <c r="AL62" s="24">
        <f>IF(AN62=21,J62,0)</f>
        <v>0</v>
      </c>
      <c r="AN62" s="24">
        <v>21</v>
      </c>
      <c r="AO62" s="24">
        <f>G62*0</f>
        <v>0</v>
      </c>
      <c r="AP62" s="24">
        <f>G62*(1-0)</f>
        <v>0</v>
      </c>
      <c r="AQ62" s="26" t="s">
        <v>79</v>
      </c>
      <c r="AV62" s="24">
        <f>AW62+AX62</f>
        <v>0</v>
      </c>
      <c r="AW62" s="24">
        <f>F62*AO62</f>
        <v>0</v>
      </c>
      <c r="AX62" s="24">
        <f>F62*AP62</f>
        <v>0</v>
      </c>
      <c r="AY62" s="26" t="s">
        <v>128</v>
      </c>
      <c r="AZ62" s="26" t="s">
        <v>106</v>
      </c>
      <c r="BA62" s="10" t="s">
        <v>59</v>
      </c>
      <c r="BC62" s="24">
        <f>AW62+AX62</f>
        <v>0</v>
      </c>
      <c r="BD62" s="24">
        <f>G62/(100-BE62)*100</f>
        <v>0</v>
      </c>
      <c r="BE62" s="24">
        <v>0</v>
      </c>
      <c r="BF62" s="24">
        <f>62</f>
        <v>62</v>
      </c>
      <c r="BH62" s="24">
        <f>F62*AO62</f>
        <v>0</v>
      </c>
      <c r="BI62" s="24">
        <f>F62*AP62</f>
        <v>0</v>
      </c>
      <c r="BJ62" s="24">
        <f>F62*G62</f>
        <v>0</v>
      </c>
      <c r="BK62" s="24"/>
      <c r="BL62" s="24">
        <v>764</v>
      </c>
      <c r="BW62" s="24">
        <v>21</v>
      </c>
      <c r="BX62" s="4" t="s">
        <v>162</v>
      </c>
    </row>
    <row r="63" spans="1:76">
      <c r="A63" s="27"/>
      <c r="C63" s="28" t="s">
        <v>163</v>
      </c>
      <c r="D63" s="28" t="s">
        <v>51</v>
      </c>
      <c r="F63" s="29">
        <v>46.4</v>
      </c>
      <c r="K63" s="30"/>
    </row>
    <row r="64" spans="1:76">
      <c r="A64" s="2" t="s">
        <v>164</v>
      </c>
      <c r="B64" s="3" t="s">
        <v>165</v>
      </c>
      <c r="C64" s="73" t="s">
        <v>166</v>
      </c>
      <c r="D64" s="68"/>
      <c r="E64" s="3" t="s">
        <v>110</v>
      </c>
      <c r="F64" s="24">
        <v>22</v>
      </c>
      <c r="G64" s="24">
        <v>0</v>
      </c>
      <c r="H64" s="24">
        <f>F64*AO64</f>
        <v>0</v>
      </c>
      <c r="I64" s="24">
        <f>F64*AP64</f>
        <v>0</v>
      </c>
      <c r="J64" s="24">
        <f>F64*G64</f>
        <v>0</v>
      </c>
      <c r="K64" s="25" t="s">
        <v>67</v>
      </c>
      <c r="Z64" s="24">
        <f>IF(AQ64="5",BJ64,0)</f>
        <v>0</v>
      </c>
      <c r="AB64" s="24">
        <f>IF(AQ64="1",BH64,0)</f>
        <v>0</v>
      </c>
      <c r="AC64" s="24">
        <f>IF(AQ64="1",BI64,0)</f>
        <v>0</v>
      </c>
      <c r="AD64" s="24">
        <f>IF(AQ64="7",BH64,0)</f>
        <v>0</v>
      </c>
      <c r="AE64" s="24">
        <f>IF(AQ64="7",BI64,0)</f>
        <v>0</v>
      </c>
      <c r="AF64" s="24">
        <f>IF(AQ64="2",BH64,0)</f>
        <v>0</v>
      </c>
      <c r="AG64" s="24">
        <f>IF(AQ64="2",BI64,0)</f>
        <v>0</v>
      </c>
      <c r="AH64" s="24">
        <f>IF(AQ64="0",BJ64,0)</f>
        <v>0</v>
      </c>
      <c r="AI64" s="10" t="s">
        <v>51</v>
      </c>
      <c r="AJ64" s="24">
        <f>IF(AN64=0,J64,0)</f>
        <v>0</v>
      </c>
      <c r="AK64" s="24">
        <f>IF(AN64=12,J64,0)</f>
        <v>0</v>
      </c>
      <c r="AL64" s="24">
        <f>IF(AN64=21,J64,0)</f>
        <v>0</v>
      </c>
      <c r="AN64" s="24">
        <v>21</v>
      </c>
      <c r="AO64" s="24">
        <f>G64*0</f>
        <v>0</v>
      </c>
      <c r="AP64" s="24">
        <f>G64*(1-0)</f>
        <v>0</v>
      </c>
      <c r="AQ64" s="26" t="s">
        <v>79</v>
      </c>
      <c r="AV64" s="24">
        <f>AW64+AX64</f>
        <v>0</v>
      </c>
      <c r="AW64" s="24">
        <f>F64*AO64</f>
        <v>0</v>
      </c>
      <c r="AX64" s="24">
        <f>F64*AP64</f>
        <v>0</v>
      </c>
      <c r="AY64" s="26" t="s">
        <v>128</v>
      </c>
      <c r="AZ64" s="26" t="s">
        <v>106</v>
      </c>
      <c r="BA64" s="10" t="s">
        <v>59</v>
      </c>
      <c r="BC64" s="24">
        <f>AW64+AX64</f>
        <v>0</v>
      </c>
      <c r="BD64" s="24">
        <f>G64/(100-BE64)*100</f>
        <v>0</v>
      </c>
      <c r="BE64" s="24">
        <v>0</v>
      </c>
      <c r="BF64" s="24">
        <f>64</f>
        <v>64</v>
      </c>
      <c r="BH64" s="24">
        <f>F64*AO64</f>
        <v>0</v>
      </c>
      <c r="BI64" s="24">
        <f>F64*AP64</f>
        <v>0</v>
      </c>
      <c r="BJ64" s="24">
        <f>F64*G64</f>
        <v>0</v>
      </c>
      <c r="BK64" s="24"/>
      <c r="BL64" s="24">
        <v>764</v>
      </c>
      <c r="BW64" s="24">
        <v>21</v>
      </c>
      <c r="BX64" s="4" t="s">
        <v>166</v>
      </c>
    </row>
    <row r="65" spans="1:76">
      <c r="A65" s="27"/>
      <c r="C65" s="28" t="s">
        <v>167</v>
      </c>
      <c r="D65" s="28" t="s">
        <v>51</v>
      </c>
      <c r="F65" s="29">
        <v>22</v>
      </c>
      <c r="K65" s="30"/>
    </row>
    <row r="66" spans="1:76">
      <c r="A66" s="31" t="s">
        <v>51</v>
      </c>
      <c r="B66" s="32" t="s">
        <v>168</v>
      </c>
      <c r="C66" s="89" t="s">
        <v>169</v>
      </c>
      <c r="D66" s="90"/>
      <c r="E66" s="33" t="s">
        <v>4</v>
      </c>
      <c r="F66" s="33" t="s">
        <v>4</v>
      </c>
      <c r="G66" s="33" t="s">
        <v>4</v>
      </c>
      <c r="H66" s="1">
        <f>SUM(H67:H67)</f>
        <v>0</v>
      </c>
      <c r="I66" s="1">
        <f>SUM(I67:I67)</f>
        <v>0</v>
      </c>
      <c r="J66" s="1">
        <f>SUM(J67:J67)</f>
        <v>0</v>
      </c>
      <c r="K66" s="34" t="s">
        <v>51</v>
      </c>
      <c r="AI66" s="10" t="s">
        <v>51</v>
      </c>
      <c r="AS66" s="1">
        <f>SUM(AJ67:AJ67)</f>
        <v>0</v>
      </c>
      <c r="AT66" s="1">
        <f>SUM(AK67:AK67)</f>
        <v>0</v>
      </c>
      <c r="AU66" s="1">
        <f>SUM(AL67:AL67)</f>
        <v>0</v>
      </c>
    </row>
    <row r="67" spans="1:76">
      <c r="A67" s="2" t="s">
        <v>170</v>
      </c>
      <c r="B67" s="3" t="s">
        <v>171</v>
      </c>
      <c r="C67" s="73" t="s">
        <v>172</v>
      </c>
      <c r="D67" s="68"/>
      <c r="E67" s="3" t="s">
        <v>78</v>
      </c>
      <c r="F67" s="24">
        <v>243.74600000000001</v>
      </c>
      <c r="G67" s="24">
        <v>0</v>
      </c>
      <c r="H67" s="24">
        <f>F67*AO67</f>
        <v>0</v>
      </c>
      <c r="I67" s="24">
        <f>F67*AP67</f>
        <v>0</v>
      </c>
      <c r="J67" s="24">
        <f>F67*G67</f>
        <v>0</v>
      </c>
      <c r="K67" s="25" t="s">
        <v>67</v>
      </c>
      <c r="Z67" s="24">
        <f>IF(AQ67="5",BJ67,0)</f>
        <v>0</v>
      </c>
      <c r="AB67" s="24">
        <f>IF(AQ67="1",BH67,0)</f>
        <v>0</v>
      </c>
      <c r="AC67" s="24">
        <f>IF(AQ67="1",BI67,0)</f>
        <v>0</v>
      </c>
      <c r="AD67" s="24">
        <f>IF(AQ67="7",BH67,0)</f>
        <v>0</v>
      </c>
      <c r="AE67" s="24">
        <f>IF(AQ67="7",BI67,0)</f>
        <v>0</v>
      </c>
      <c r="AF67" s="24">
        <f>IF(AQ67="2",BH67,0)</f>
        <v>0</v>
      </c>
      <c r="AG67" s="24">
        <f>IF(AQ67="2",BI67,0)</f>
        <v>0</v>
      </c>
      <c r="AH67" s="24">
        <f>IF(AQ67="0",BJ67,0)</f>
        <v>0</v>
      </c>
      <c r="AI67" s="10" t="s">
        <v>51</v>
      </c>
      <c r="AJ67" s="24">
        <f>IF(AN67=0,J67,0)</f>
        <v>0</v>
      </c>
      <c r="AK67" s="24">
        <f>IF(AN67=12,J67,0)</f>
        <v>0</v>
      </c>
      <c r="AL67" s="24">
        <f>IF(AN67=21,J67,0)</f>
        <v>0</v>
      </c>
      <c r="AN67" s="24">
        <v>21</v>
      </c>
      <c r="AO67" s="24">
        <f>G67*0</f>
        <v>0</v>
      </c>
      <c r="AP67" s="24">
        <f>G67*(1-0)</f>
        <v>0</v>
      </c>
      <c r="AQ67" s="26" t="s">
        <v>79</v>
      </c>
      <c r="AV67" s="24">
        <f>AW67+AX67</f>
        <v>0</v>
      </c>
      <c r="AW67" s="24">
        <f>F67*AO67</f>
        <v>0</v>
      </c>
      <c r="AX67" s="24">
        <f>F67*AP67</f>
        <v>0</v>
      </c>
      <c r="AY67" s="26" t="s">
        <v>173</v>
      </c>
      <c r="AZ67" s="26" t="s">
        <v>106</v>
      </c>
      <c r="BA67" s="10" t="s">
        <v>59</v>
      </c>
      <c r="BC67" s="24">
        <f>AW67+AX67</f>
        <v>0</v>
      </c>
      <c r="BD67" s="24">
        <f>G67/(100-BE67)*100</f>
        <v>0</v>
      </c>
      <c r="BE67" s="24">
        <v>0</v>
      </c>
      <c r="BF67" s="24">
        <f>67</f>
        <v>67</v>
      </c>
      <c r="BH67" s="24">
        <f>F67*AO67</f>
        <v>0</v>
      </c>
      <c r="BI67" s="24">
        <f>F67*AP67</f>
        <v>0</v>
      </c>
      <c r="BJ67" s="24">
        <f>F67*G67</f>
        <v>0</v>
      </c>
      <c r="BK67" s="24"/>
      <c r="BL67" s="24">
        <v>766</v>
      </c>
      <c r="BW67" s="24">
        <v>21</v>
      </c>
      <c r="BX67" s="4" t="s">
        <v>172</v>
      </c>
    </row>
    <row r="68" spans="1:76">
      <c r="A68" s="27"/>
      <c r="C68" s="28" t="s">
        <v>174</v>
      </c>
      <c r="D68" s="28" t="s">
        <v>51</v>
      </c>
      <c r="F68" s="29">
        <v>243.74600000000001</v>
      </c>
      <c r="K68" s="30"/>
    </row>
    <row r="69" spans="1:76">
      <c r="A69" s="31" t="s">
        <v>51</v>
      </c>
      <c r="B69" s="32" t="s">
        <v>175</v>
      </c>
      <c r="C69" s="89" t="s">
        <v>176</v>
      </c>
      <c r="D69" s="90"/>
      <c r="E69" s="33" t="s">
        <v>4</v>
      </c>
      <c r="F69" s="33" t="s">
        <v>4</v>
      </c>
      <c r="G69" s="33" t="s">
        <v>4</v>
      </c>
      <c r="H69" s="1">
        <f>SUM(H70:H74)</f>
        <v>0</v>
      </c>
      <c r="I69" s="1">
        <f>SUM(I70:I74)</f>
        <v>0</v>
      </c>
      <c r="J69" s="1">
        <f>SUM(J70:J74)</f>
        <v>0</v>
      </c>
      <c r="K69" s="34" t="s">
        <v>51</v>
      </c>
      <c r="AI69" s="10" t="s">
        <v>51</v>
      </c>
      <c r="AS69" s="1">
        <f>SUM(AJ70:AJ74)</f>
        <v>0</v>
      </c>
      <c r="AT69" s="1">
        <f>SUM(AK70:AK74)</f>
        <v>0</v>
      </c>
      <c r="AU69" s="1">
        <f>SUM(AL70:AL74)</f>
        <v>0</v>
      </c>
    </row>
    <row r="70" spans="1:76">
      <c r="A70" s="2" t="s">
        <v>177</v>
      </c>
      <c r="B70" s="3" t="s">
        <v>178</v>
      </c>
      <c r="C70" s="73" t="s">
        <v>179</v>
      </c>
      <c r="D70" s="68"/>
      <c r="E70" s="3" t="s">
        <v>78</v>
      </c>
      <c r="F70" s="24">
        <v>7.8</v>
      </c>
      <c r="G70" s="24">
        <v>0</v>
      </c>
      <c r="H70" s="24">
        <f>F70*AO70</f>
        <v>0</v>
      </c>
      <c r="I70" s="24">
        <f>F70*AP70</f>
        <v>0</v>
      </c>
      <c r="J70" s="24">
        <f>F70*G70</f>
        <v>0</v>
      </c>
      <c r="K70" s="25" t="s">
        <v>51</v>
      </c>
      <c r="Z70" s="24">
        <f>IF(AQ70="5",BJ70,0)</f>
        <v>0</v>
      </c>
      <c r="AB70" s="24">
        <f>IF(AQ70="1",BH70,0)</f>
        <v>0</v>
      </c>
      <c r="AC70" s="24">
        <f>IF(AQ70="1",BI70,0)</f>
        <v>0</v>
      </c>
      <c r="AD70" s="24">
        <f>IF(AQ70="7",BH70,0)</f>
        <v>0</v>
      </c>
      <c r="AE70" s="24">
        <f>IF(AQ70="7",BI70,0)</f>
        <v>0</v>
      </c>
      <c r="AF70" s="24">
        <f>IF(AQ70="2",BH70,0)</f>
        <v>0</v>
      </c>
      <c r="AG70" s="24">
        <f>IF(AQ70="2",BI70,0)</f>
        <v>0</v>
      </c>
      <c r="AH70" s="24">
        <f>IF(AQ70="0",BJ70,0)</f>
        <v>0</v>
      </c>
      <c r="AI70" s="10" t="s">
        <v>51</v>
      </c>
      <c r="AJ70" s="24">
        <f>IF(AN70=0,J70,0)</f>
        <v>0</v>
      </c>
      <c r="AK70" s="24">
        <f>IF(AN70=12,J70,0)</f>
        <v>0</v>
      </c>
      <c r="AL70" s="24">
        <f>IF(AN70=21,J70,0)</f>
        <v>0</v>
      </c>
      <c r="AN70" s="24">
        <v>21</v>
      </c>
      <c r="AO70" s="24">
        <f>G70*0</f>
        <v>0</v>
      </c>
      <c r="AP70" s="24">
        <f>G70*(1-0)</f>
        <v>0</v>
      </c>
      <c r="AQ70" s="26" t="s">
        <v>79</v>
      </c>
      <c r="AV70" s="24">
        <f>AW70+AX70</f>
        <v>0</v>
      </c>
      <c r="AW70" s="24">
        <f>F70*AO70</f>
        <v>0</v>
      </c>
      <c r="AX70" s="24">
        <f>F70*AP70</f>
        <v>0</v>
      </c>
      <c r="AY70" s="26" t="s">
        <v>180</v>
      </c>
      <c r="AZ70" s="26" t="s">
        <v>106</v>
      </c>
      <c r="BA70" s="10" t="s">
        <v>59</v>
      </c>
      <c r="BC70" s="24">
        <f>AW70+AX70</f>
        <v>0</v>
      </c>
      <c r="BD70" s="24">
        <f>G70/(100-BE70)*100</f>
        <v>0</v>
      </c>
      <c r="BE70" s="24">
        <v>0</v>
      </c>
      <c r="BF70" s="24">
        <f>70</f>
        <v>70</v>
      </c>
      <c r="BH70" s="24">
        <f>F70*AO70</f>
        <v>0</v>
      </c>
      <c r="BI70" s="24">
        <f>F70*AP70</f>
        <v>0</v>
      </c>
      <c r="BJ70" s="24">
        <f>F70*G70</f>
        <v>0</v>
      </c>
      <c r="BK70" s="24"/>
      <c r="BL70" s="24">
        <v>767</v>
      </c>
      <c r="BW70" s="24">
        <v>21</v>
      </c>
      <c r="BX70" s="4" t="s">
        <v>179</v>
      </c>
    </row>
    <row r="71" spans="1:76">
      <c r="A71" s="27"/>
      <c r="C71" s="28" t="s">
        <v>181</v>
      </c>
      <c r="D71" s="28" t="s">
        <v>51</v>
      </c>
      <c r="F71" s="29">
        <v>4.16</v>
      </c>
      <c r="K71" s="30"/>
    </row>
    <row r="72" spans="1:76">
      <c r="A72" s="27"/>
      <c r="C72" s="28" t="s">
        <v>182</v>
      </c>
      <c r="D72" s="28" t="s">
        <v>51</v>
      </c>
      <c r="F72" s="29">
        <v>0.76</v>
      </c>
      <c r="K72" s="30"/>
    </row>
    <row r="73" spans="1:76">
      <c r="A73" s="27"/>
      <c r="C73" s="28" t="s">
        <v>183</v>
      </c>
      <c r="D73" s="28" t="s">
        <v>51</v>
      </c>
      <c r="F73" s="29">
        <v>2.88</v>
      </c>
      <c r="K73" s="30"/>
    </row>
    <row r="74" spans="1:76">
      <c r="A74" s="2" t="s">
        <v>184</v>
      </c>
      <c r="B74" s="3" t="s">
        <v>185</v>
      </c>
      <c r="C74" s="73" t="s">
        <v>186</v>
      </c>
      <c r="D74" s="68"/>
      <c r="E74" s="3" t="s">
        <v>78</v>
      </c>
      <c r="F74" s="24">
        <v>243.74600000000001</v>
      </c>
      <c r="G74" s="24">
        <v>0</v>
      </c>
      <c r="H74" s="24">
        <f>F74*AO74</f>
        <v>0</v>
      </c>
      <c r="I74" s="24">
        <f>F74*AP74</f>
        <v>0</v>
      </c>
      <c r="J74" s="24">
        <f>F74*G74</f>
        <v>0</v>
      </c>
      <c r="K74" s="25" t="s">
        <v>67</v>
      </c>
      <c r="Z74" s="24">
        <f>IF(AQ74="5",BJ74,0)</f>
        <v>0</v>
      </c>
      <c r="AB74" s="24">
        <f>IF(AQ74="1",BH74,0)</f>
        <v>0</v>
      </c>
      <c r="AC74" s="24">
        <f>IF(AQ74="1",BI74,0)</f>
        <v>0</v>
      </c>
      <c r="AD74" s="24">
        <f>IF(AQ74="7",BH74,0)</f>
        <v>0</v>
      </c>
      <c r="AE74" s="24">
        <f>IF(AQ74="7",BI74,0)</f>
        <v>0</v>
      </c>
      <c r="AF74" s="24">
        <f>IF(AQ74="2",BH74,0)</f>
        <v>0</v>
      </c>
      <c r="AG74" s="24">
        <f>IF(AQ74="2",BI74,0)</f>
        <v>0</v>
      </c>
      <c r="AH74" s="24">
        <f>IF(AQ74="0",BJ74,0)</f>
        <v>0</v>
      </c>
      <c r="AI74" s="10" t="s">
        <v>51</v>
      </c>
      <c r="AJ74" s="24">
        <f>IF(AN74=0,J74,0)</f>
        <v>0</v>
      </c>
      <c r="AK74" s="24">
        <f>IF(AN74=12,J74,0)</f>
        <v>0</v>
      </c>
      <c r="AL74" s="24">
        <f>IF(AN74=21,J74,0)</f>
        <v>0</v>
      </c>
      <c r="AN74" s="24">
        <v>21</v>
      </c>
      <c r="AO74" s="24">
        <f>G74*0</f>
        <v>0</v>
      </c>
      <c r="AP74" s="24">
        <f>G74*(1-0)</f>
        <v>0</v>
      </c>
      <c r="AQ74" s="26" t="s">
        <v>79</v>
      </c>
      <c r="AV74" s="24">
        <f>AW74+AX74</f>
        <v>0</v>
      </c>
      <c r="AW74" s="24">
        <f>F74*AO74</f>
        <v>0</v>
      </c>
      <c r="AX74" s="24">
        <f>F74*AP74</f>
        <v>0</v>
      </c>
      <c r="AY74" s="26" t="s">
        <v>180</v>
      </c>
      <c r="AZ74" s="26" t="s">
        <v>106</v>
      </c>
      <c r="BA74" s="10" t="s">
        <v>59</v>
      </c>
      <c r="BC74" s="24">
        <f>AW74+AX74</f>
        <v>0</v>
      </c>
      <c r="BD74" s="24">
        <f>G74/(100-BE74)*100</f>
        <v>0</v>
      </c>
      <c r="BE74" s="24">
        <v>0</v>
      </c>
      <c r="BF74" s="24">
        <f>74</f>
        <v>74</v>
      </c>
      <c r="BH74" s="24">
        <f>F74*AO74</f>
        <v>0</v>
      </c>
      <c r="BI74" s="24">
        <f>F74*AP74</f>
        <v>0</v>
      </c>
      <c r="BJ74" s="24">
        <f>F74*G74</f>
        <v>0</v>
      </c>
      <c r="BK74" s="24"/>
      <c r="BL74" s="24">
        <v>767</v>
      </c>
      <c r="BW74" s="24">
        <v>21</v>
      </c>
      <c r="BX74" s="4" t="s">
        <v>186</v>
      </c>
    </row>
    <row r="75" spans="1:76">
      <c r="A75" s="27"/>
      <c r="C75" s="28" t="s">
        <v>174</v>
      </c>
      <c r="D75" s="28" t="s">
        <v>51</v>
      </c>
      <c r="F75" s="29">
        <v>243.74600000000001</v>
      </c>
      <c r="K75" s="30"/>
    </row>
    <row r="76" spans="1:76">
      <c r="A76" s="31" t="s">
        <v>51</v>
      </c>
      <c r="B76" s="32" t="s">
        <v>187</v>
      </c>
      <c r="C76" s="89" t="s">
        <v>188</v>
      </c>
      <c r="D76" s="90"/>
      <c r="E76" s="33" t="s">
        <v>4</v>
      </c>
      <c r="F76" s="33" t="s">
        <v>4</v>
      </c>
      <c r="G76" s="33" t="s">
        <v>4</v>
      </c>
      <c r="H76" s="1">
        <f>SUM(H77:H77)</f>
        <v>0</v>
      </c>
      <c r="I76" s="1">
        <f>SUM(I77:I77)</f>
        <v>0</v>
      </c>
      <c r="J76" s="1">
        <f>SUM(J77:J77)</f>
        <v>0</v>
      </c>
      <c r="K76" s="34" t="s">
        <v>51</v>
      </c>
      <c r="AI76" s="10" t="s">
        <v>51</v>
      </c>
      <c r="AS76" s="1">
        <f>SUM(AJ77:AJ77)</f>
        <v>0</v>
      </c>
      <c r="AT76" s="1">
        <f>SUM(AK77:AK77)</f>
        <v>0</v>
      </c>
      <c r="AU76" s="1">
        <f>SUM(AL77:AL77)</f>
        <v>0</v>
      </c>
    </row>
    <row r="77" spans="1:76">
      <c r="A77" s="2" t="s">
        <v>189</v>
      </c>
      <c r="B77" s="3" t="s">
        <v>190</v>
      </c>
      <c r="C77" s="73" t="s">
        <v>191</v>
      </c>
      <c r="D77" s="68"/>
      <c r="E77" s="3" t="s">
        <v>78</v>
      </c>
      <c r="F77" s="24">
        <v>22.6</v>
      </c>
      <c r="G77" s="24">
        <v>0</v>
      </c>
      <c r="H77" s="24">
        <f>F77*AO77</f>
        <v>0</v>
      </c>
      <c r="I77" s="24">
        <f>F77*AP77</f>
        <v>0</v>
      </c>
      <c r="J77" s="24">
        <f>F77*G77</f>
        <v>0</v>
      </c>
      <c r="K77" s="25" t="s">
        <v>67</v>
      </c>
      <c r="Z77" s="24">
        <f>IF(AQ77="5",BJ77,0)</f>
        <v>0</v>
      </c>
      <c r="AB77" s="24">
        <f>IF(AQ77="1",BH77,0)</f>
        <v>0</v>
      </c>
      <c r="AC77" s="24">
        <f>IF(AQ77="1",BI77,0)</f>
        <v>0</v>
      </c>
      <c r="AD77" s="24">
        <f>IF(AQ77="7",BH77,0)</f>
        <v>0</v>
      </c>
      <c r="AE77" s="24">
        <f>IF(AQ77="7",BI77,0)</f>
        <v>0</v>
      </c>
      <c r="AF77" s="24">
        <f>IF(AQ77="2",BH77,0)</f>
        <v>0</v>
      </c>
      <c r="AG77" s="24">
        <f>IF(AQ77="2",BI77,0)</f>
        <v>0</v>
      </c>
      <c r="AH77" s="24">
        <f>IF(AQ77="0",BJ77,0)</f>
        <v>0</v>
      </c>
      <c r="AI77" s="10" t="s">
        <v>51</v>
      </c>
      <c r="AJ77" s="24">
        <f>IF(AN77=0,J77,0)</f>
        <v>0</v>
      </c>
      <c r="AK77" s="24">
        <f>IF(AN77=12,J77,0)</f>
        <v>0</v>
      </c>
      <c r="AL77" s="24">
        <f>IF(AN77=21,J77,0)</f>
        <v>0</v>
      </c>
      <c r="AN77" s="24">
        <v>21</v>
      </c>
      <c r="AO77" s="24">
        <f>G77*0</f>
        <v>0</v>
      </c>
      <c r="AP77" s="24">
        <f>G77*(1-0)</f>
        <v>0</v>
      </c>
      <c r="AQ77" s="26" t="s">
        <v>79</v>
      </c>
      <c r="AV77" s="24">
        <f>AW77+AX77</f>
        <v>0</v>
      </c>
      <c r="AW77" s="24">
        <f>F77*AO77</f>
        <v>0</v>
      </c>
      <c r="AX77" s="24">
        <f>F77*AP77</f>
        <v>0</v>
      </c>
      <c r="AY77" s="26" t="s">
        <v>192</v>
      </c>
      <c r="AZ77" s="26" t="s">
        <v>193</v>
      </c>
      <c r="BA77" s="10" t="s">
        <v>59</v>
      </c>
      <c r="BC77" s="24">
        <f>AW77+AX77</f>
        <v>0</v>
      </c>
      <c r="BD77" s="24">
        <f>G77/(100-BE77)*100</f>
        <v>0</v>
      </c>
      <c r="BE77" s="24">
        <v>0</v>
      </c>
      <c r="BF77" s="24">
        <f>77</f>
        <v>77</v>
      </c>
      <c r="BH77" s="24">
        <f>F77*AO77</f>
        <v>0</v>
      </c>
      <c r="BI77" s="24">
        <f>F77*AP77</f>
        <v>0</v>
      </c>
      <c r="BJ77" s="24">
        <f>F77*G77</f>
        <v>0</v>
      </c>
      <c r="BK77" s="24"/>
      <c r="BL77" s="24">
        <v>776</v>
      </c>
      <c r="BW77" s="24">
        <v>21</v>
      </c>
      <c r="BX77" s="4" t="s">
        <v>191</v>
      </c>
    </row>
    <row r="78" spans="1:76">
      <c r="A78" s="27"/>
      <c r="C78" s="28" t="s">
        <v>194</v>
      </c>
      <c r="D78" s="28" t="s">
        <v>51</v>
      </c>
      <c r="F78" s="29">
        <v>22.6</v>
      </c>
      <c r="K78" s="30"/>
    </row>
    <row r="79" spans="1:76">
      <c r="A79" s="31" t="s">
        <v>51</v>
      </c>
      <c r="B79" s="32" t="s">
        <v>195</v>
      </c>
      <c r="C79" s="89" t="s">
        <v>196</v>
      </c>
      <c r="D79" s="90"/>
      <c r="E79" s="33" t="s">
        <v>4</v>
      </c>
      <c r="F79" s="33" t="s">
        <v>4</v>
      </c>
      <c r="G79" s="33" t="s">
        <v>4</v>
      </c>
      <c r="H79" s="1">
        <f>SUM(H80:H80)</f>
        <v>0</v>
      </c>
      <c r="I79" s="1">
        <f>SUM(I80:I80)</f>
        <v>0</v>
      </c>
      <c r="J79" s="1">
        <f>SUM(J80:J80)</f>
        <v>0</v>
      </c>
      <c r="K79" s="34" t="s">
        <v>51</v>
      </c>
      <c r="AI79" s="10" t="s">
        <v>51</v>
      </c>
      <c r="AS79" s="1">
        <f>SUM(AJ80:AJ80)</f>
        <v>0</v>
      </c>
      <c r="AT79" s="1">
        <f>SUM(AK80:AK80)</f>
        <v>0</v>
      </c>
      <c r="AU79" s="1">
        <f>SUM(AL80:AL80)</f>
        <v>0</v>
      </c>
    </row>
    <row r="80" spans="1:76">
      <c r="A80" s="2" t="s">
        <v>197</v>
      </c>
      <c r="B80" s="3" t="s">
        <v>198</v>
      </c>
      <c r="C80" s="73" t="s">
        <v>199</v>
      </c>
      <c r="D80" s="68"/>
      <c r="E80" s="3" t="s">
        <v>78</v>
      </c>
      <c r="F80" s="24">
        <v>14.78</v>
      </c>
      <c r="G80" s="24">
        <v>0</v>
      </c>
      <c r="H80" s="24">
        <f>F80*AO80</f>
        <v>0</v>
      </c>
      <c r="I80" s="24">
        <f>F80*AP80</f>
        <v>0</v>
      </c>
      <c r="J80" s="24">
        <f>F80*G80</f>
        <v>0</v>
      </c>
      <c r="K80" s="25" t="s">
        <v>67</v>
      </c>
      <c r="Z80" s="24">
        <f>IF(AQ80="5",BJ80,0)</f>
        <v>0</v>
      </c>
      <c r="AB80" s="24">
        <f>IF(AQ80="1",BH80,0)</f>
        <v>0</v>
      </c>
      <c r="AC80" s="24">
        <f>IF(AQ80="1",BI80,0)</f>
        <v>0</v>
      </c>
      <c r="AD80" s="24">
        <f>IF(AQ80="7",BH80,0)</f>
        <v>0</v>
      </c>
      <c r="AE80" s="24">
        <f>IF(AQ80="7",BI80,0)</f>
        <v>0</v>
      </c>
      <c r="AF80" s="24">
        <f>IF(AQ80="2",BH80,0)</f>
        <v>0</v>
      </c>
      <c r="AG80" s="24">
        <f>IF(AQ80="2",BI80,0)</f>
        <v>0</v>
      </c>
      <c r="AH80" s="24">
        <f>IF(AQ80="0",BJ80,0)</f>
        <v>0</v>
      </c>
      <c r="AI80" s="10" t="s">
        <v>51</v>
      </c>
      <c r="AJ80" s="24">
        <f>IF(AN80=0,J80,0)</f>
        <v>0</v>
      </c>
      <c r="AK80" s="24">
        <f>IF(AN80=12,J80,0)</f>
        <v>0</v>
      </c>
      <c r="AL80" s="24">
        <f>IF(AN80=21,J80,0)</f>
        <v>0</v>
      </c>
      <c r="AN80" s="24">
        <v>21</v>
      </c>
      <c r="AO80" s="24">
        <f>G80*0</f>
        <v>0</v>
      </c>
      <c r="AP80" s="24">
        <f>G80*(1-0)</f>
        <v>0</v>
      </c>
      <c r="AQ80" s="26" t="s">
        <v>79</v>
      </c>
      <c r="AV80" s="24">
        <f>AW80+AX80</f>
        <v>0</v>
      </c>
      <c r="AW80" s="24">
        <f>F80*AO80</f>
        <v>0</v>
      </c>
      <c r="AX80" s="24">
        <f>F80*AP80</f>
        <v>0</v>
      </c>
      <c r="AY80" s="26" t="s">
        <v>200</v>
      </c>
      <c r="AZ80" s="26" t="s">
        <v>201</v>
      </c>
      <c r="BA80" s="10" t="s">
        <v>59</v>
      </c>
      <c r="BC80" s="24">
        <f>AW80+AX80</f>
        <v>0</v>
      </c>
      <c r="BD80" s="24">
        <f>G80/(100-BE80)*100</f>
        <v>0</v>
      </c>
      <c r="BE80" s="24">
        <v>0</v>
      </c>
      <c r="BF80" s="24">
        <f>80</f>
        <v>80</v>
      </c>
      <c r="BH80" s="24">
        <f>F80*AO80</f>
        <v>0</v>
      </c>
      <c r="BI80" s="24">
        <f>F80*AP80</f>
        <v>0</v>
      </c>
      <c r="BJ80" s="24">
        <f>F80*G80</f>
        <v>0</v>
      </c>
      <c r="BK80" s="24"/>
      <c r="BL80" s="24">
        <v>787</v>
      </c>
      <c r="BW80" s="24">
        <v>21</v>
      </c>
      <c r="BX80" s="4" t="s">
        <v>199</v>
      </c>
    </row>
    <row r="81" spans="1:76">
      <c r="A81" s="27"/>
      <c r="C81" s="28" t="s">
        <v>202</v>
      </c>
      <c r="D81" s="28" t="s">
        <v>51</v>
      </c>
      <c r="F81" s="29">
        <v>14.78</v>
      </c>
      <c r="K81" s="30"/>
    </row>
    <row r="82" spans="1:76">
      <c r="A82" s="31" t="s">
        <v>51</v>
      </c>
      <c r="B82" s="32" t="s">
        <v>203</v>
      </c>
      <c r="C82" s="89" t="s">
        <v>204</v>
      </c>
      <c r="D82" s="90"/>
      <c r="E82" s="33" t="s">
        <v>4</v>
      </c>
      <c r="F82" s="33" t="s">
        <v>4</v>
      </c>
      <c r="G82" s="33" t="s">
        <v>4</v>
      </c>
      <c r="H82" s="1">
        <f>SUM(H83:H166)</f>
        <v>0</v>
      </c>
      <c r="I82" s="1">
        <f>SUM(I83:I166)</f>
        <v>0</v>
      </c>
      <c r="J82" s="1">
        <f>SUM(J83:J166)</f>
        <v>0</v>
      </c>
      <c r="K82" s="34" t="s">
        <v>51</v>
      </c>
      <c r="AI82" s="10" t="s">
        <v>51</v>
      </c>
      <c r="AS82" s="1">
        <f>SUM(AJ83:AJ166)</f>
        <v>0</v>
      </c>
      <c r="AT82" s="1">
        <f>SUM(AK83:AK166)</f>
        <v>0</v>
      </c>
      <c r="AU82" s="1">
        <f>SUM(AL83:AL166)</f>
        <v>0</v>
      </c>
    </row>
    <row r="83" spans="1:76">
      <c r="A83" s="2" t="s">
        <v>205</v>
      </c>
      <c r="B83" s="3" t="s">
        <v>206</v>
      </c>
      <c r="C83" s="73" t="s">
        <v>207</v>
      </c>
      <c r="D83" s="68"/>
      <c r="E83" s="3" t="s">
        <v>78</v>
      </c>
      <c r="F83" s="24">
        <v>34.89</v>
      </c>
      <c r="G83" s="24">
        <v>0</v>
      </c>
      <c r="H83" s="24">
        <f>F83*AO83</f>
        <v>0</v>
      </c>
      <c r="I83" s="24">
        <f>F83*AP83</f>
        <v>0</v>
      </c>
      <c r="J83" s="24">
        <f>F83*G83</f>
        <v>0</v>
      </c>
      <c r="K83" s="25" t="s">
        <v>67</v>
      </c>
      <c r="Z83" s="24">
        <f>IF(AQ83="5",BJ83,0)</f>
        <v>0</v>
      </c>
      <c r="AB83" s="24">
        <f>IF(AQ83="1",BH83,0)</f>
        <v>0</v>
      </c>
      <c r="AC83" s="24">
        <f>IF(AQ83="1",BI83,0)</f>
        <v>0</v>
      </c>
      <c r="AD83" s="24">
        <f>IF(AQ83="7",BH83,0)</f>
        <v>0</v>
      </c>
      <c r="AE83" s="24">
        <f>IF(AQ83="7",BI83,0)</f>
        <v>0</v>
      </c>
      <c r="AF83" s="24">
        <f>IF(AQ83="2",BH83,0)</f>
        <v>0</v>
      </c>
      <c r="AG83" s="24">
        <f>IF(AQ83="2",BI83,0)</f>
        <v>0</v>
      </c>
      <c r="AH83" s="24">
        <f>IF(AQ83="0",BJ83,0)</f>
        <v>0</v>
      </c>
      <c r="AI83" s="10" t="s">
        <v>51</v>
      </c>
      <c r="AJ83" s="24">
        <f>IF(AN83=0,J83,0)</f>
        <v>0</v>
      </c>
      <c r="AK83" s="24">
        <f>IF(AN83=12,J83,0)</f>
        <v>0</v>
      </c>
      <c r="AL83" s="24">
        <f>IF(AN83=21,J83,0)</f>
        <v>0</v>
      </c>
      <c r="AN83" s="24">
        <v>21</v>
      </c>
      <c r="AO83" s="24">
        <f>G83*0.069894608</f>
        <v>0</v>
      </c>
      <c r="AP83" s="24">
        <f>G83*(1-0.069894608)</f>
        <v>0</v>
      </c>
      <c r="AQ83" s="26" t="s">
        <v>54</v>
      </c>
      <c r="AV83" s="24">
        <f>AW83+AX83</f>
        <v>0</v>
      </c>
      <c r="AW83" s="24">
        <f>F83*AO83</f>
        <v>0</v>
      </c>
      <c r="AX83" s="24">
        <f>F83*AP83</f>
        <v>0</v>
      </c>
      <c r="AY83" s="26" t="s">
        <v>208</v>
      </c>
      <c r="AZ83" s="26" t="s">
        <v>209</v>
      </c>
      <c r="BA83" s="10" t="s">
        <v>59</v>
      </c>
      <c r="BC83" s="24">
        <f>AW83+AX83</f>
        <v>0</v>
      </c>
      <c r="BD83" s="24">
        <f>G83/(100-BE83)*100</f>
        <v>0</v>
      </c>
      <c r="BE83" s="24">
        <v>0</v>
      </c>
      <c r="BF83" s="24">
        <f>83</f>
        <v>83</v>
      </c>
      <c r="BH83" s="24">
        <f>F83*AO83</f>
        <v>0</v>
      </c>
      <c r="BI83" s="24">
        <f>F83*AP83</f>
        <v>0</v>
      </c>
      <c r="BJ83" s="24">
        <f>F83*G83</f>
        <v>0</v>
      </c>
      <c r="BK83" s="24"/>
      <c r="BL83" s="24">
        <v>96</v>
      </c>
      <c r="BW83" s="24">
        <v>21</v>
      </c>
      <c r="BX83" s="4" t="s">
        <v>207</v>
      </c>
    </row>
    <row r="84" spans="1:76">
      <c r="A84" s="27"/>
      <c r="C84" s="28" t="s">
        <v>183</v>
      </c>
      <c r="D84" s="28" t="s">
        <v>51</v>
      </c>
      <c r="F84" s="29">
        <v>2.88</v>
      </c>
      <c r="K84" s="30"/>
    </row>
    <row r="85" spans="1:76">
      <c r="A85" s="27"/>
      <c r="C85" s="28" t="s">
        <v>210</v>
      </c>
      <c r="D85" s="28" t="s">
        <v>51</v>
      </c>
      <c r="F85" s="29">
        <v>9.1999999999999993</v>
      </c>
      <c r="K85" s="30"/>
    </row>
    <row r="86" spans="1:76">
      <c r="A86" s="27"/>
      <c r="C86" s="28" t="s">
        <v>211</v>
      </c>
      <c r="D86" s="28" t="s">
        <v>51</v>
      </c>
      <c r="F86" s="29">
        <v>3.06</v>
      </c>
      <c r="K86" s="30"/>
    </row>
    <row r="87" spans="1:76">
      <c r="A87" s="27"/>
      <c r="C87" s="28" t="s">
        <v>212</v>
      </c>
      <c r="D87" s="28" t="s">
        <v>51</v>
      </c>
      <c r="F87" s="29">
        <v>18.899999999999999</v>
      </c>
      <c r="K87" s="30"/>
    </row>
    <row r="88" spans="1:76">
      <c r="A88" s="27"/>
      <c r="C88" s="28" t="s">
        <v>213</v>
      </c>
      <c r="D88" s="28" t="s">
        <v>51</v>
      </c>
      <c r="F88" s="29">
        <v>0.85</v>
      </c>
      <c r="K88" s="30"/>
    </row>
    <row r="89" spans="1:76">
      <c r="A89" s="27"/>
      <c r="C89" s="28" t="s">
        <v>214</v>
      </c>
      <c r="D89" s="28" t="s">
        <v>51</v>
      </c>
      <c r="F89" s="29">
        <v>0</v>
      </c>
      <c r="K89" s="30"/>
    </row>
    <row r="90" spans="1:76">
      <c r="A90" s="2" t="s">
        <v>215</v>
      </c>
      <c r="B90" s="3" t="s">
        <v>216</v>
      </c>
      <c r="C90" s="73" t="s">
        <v>217</v>
      </c>
      <c r="D90" s="68"/>
      <c r="E90" s="3" t="s">
        <v>78</v>
      </c>
      <c r="F90" s="24">
        <v>1.44</v>
      </c>
      <c r="G90" s="24">
        <v>0</v>
      </c>
      <c r="H90" s="24">
        <f>F90*AO90</f>
        <v>0</v>
      </c>
      <c r="I90" s="24">
        <f>F90*AP90</f>
        <v>0</v>
      </c>
      <c r="J90" s="24">
        <f>F90*G90</f>
        <v>0</v>
      </c>
      <c r="K90" s="25" t="s">
        <v>67</v>
      </c>
      <c r="Z90" s="24">
        <f>IF(AQ90="5",BJ90,0)</f>
        <v>0</v>
      </c>
      <c r="AB90" s="24">
        <f>IF(AQ90="1",BH90,0)</f>
        <v>0</v>
      </c>
      <c r="AC90" s="24">
        <f>IF(AQ90="1",BI90,0)</f>
        <v>0</v>
      </c>
      <c r="AD90" s="24">
        <f>IF(AQ90="7",BH90,0)</f>
        <v>0</v>
      </c>
      <c r="AE90" s="24">
        <f>IF(AQ90="7",BI90,0)</f>
        <v>0</v>
      </c>
      <c r="AF90" s="24">
        <f>IF(AQ90="2",BH90,0)</f>
        <v>0</v>
      </c>
      <c r="AG90" s="24">
        <f>IF(AQ90="2",BI90,0)</f>
        <v>0</v>
      </c>
      <c r="AH90" s="24">
        <f>IF(AQ90="0",BJ90,0)</f>
        <v>0</v>
      </c>
      <c r="AI90" s="10" t="s">
        <v>51</v>
      </c>
      <c r="AJ90" s="24">
        <f>IF(AN90=0,J90,0)</f>
        <v>0</v>
      </c>
      <c r="AK90" s="24">
        <f>IF(AN90=12,J90,0)</f>
        <v>0</v>
      </c>
      <c r="AL90" s="24">
        <f>IF(AN90=21,J90,0)</f>
        <v>0</v>
      </c>
      <c r="AN90" s="24">
        <v>21</v>
      </c>
      <c r="AO90" s="24">
        <f>G90*0.126043307</f>
        <v>0</v>
      </c>
      <c r="AP90" s="24">
        <f>G90*(1-0.126043307)</f>
        <v>0</v>
      </c>
      <c r="AQ90" s="26" t="s">
        <v>54</v>
      </c>
      <c r="AV90" s="24">
        <f>AW90+AX90</f>
        <v>0</v>
      </c>
      <c r="AW90" s="24">
        <f>F90*AO90</f>
        <v>0</v>
      </c>
      <c r="AX90" s="24">
        <f>F90*AP90</f>
        <v>0</v>
      </c>
      <c r="AY90" s="26" t="s">
        <v>208</v>
      </c>
      <c r="AZ90" s="26" t="s">
        <v>209</v>
      </c>
      <c r="BA90" s="10" t="s">
        <v>59</v>
      </c>
      <c r="BC90" s="24">
        <f>AW90+AX90</f>
        <v>0</v>
      </c>
      <c r="BD90" s="24">
        <f>G90/(100-BE90)*100</f>
        <v>0</v>
      </c>
      <c r="BE90" s="24">
        <v>0</v>
      </c>
      <c r="BF90" s="24">
        <f>90</f>
        <v>90</v>
      </c>
      <c r="BH90" s="24">
        <f>F90*AO90</f>
        <v>0</v>
      </c>
      <c r="BI90" s="24">
        <f>F90*AP90</f>
        <v>0</v>
      </c>
      <c r="BJ90" s="24">
        <f>F90*G90</f>
        <v>0</v>
      </c>
      <c r="BK90" s="24"/>
      <c r="BL90" s="24">
        <v>96</v>
      </c>
      <c r="BW90" s="24">
        <v>21</v>
      </c>
      <c r="BX90" s="4" t="s">
        <v>217</v>
      </c>
    </row>
    <row r="91" spans="1:76">
      <c r="A91" s="27"/>
      <c r="C91" s="28" t="s">
        <v>218</v>
      </c>
      <c r="D91" s="28" t="s">
        <v>51</v>
      </c>
      <c r="F91" s="29">
        <v>1.44</v>
      </c>
      <c r="K91" s="30"/>
    </row>
    <row r="92" spans="1:76">
      <c r="A92" s="2" t="s">
        <v>219</v>
      </c>
      <c r="B92" s="3" t="s">
        <v>220</v>
      </c>
      <c r="C92" s="73" t="s">
        <v>221</v>
      </c>
      <c r="D92" s="68"/>
      <c r="E92" s="3" t="s">
        <v>151</v>
      </c>
      <c r="F92" s="24">
        <v>21</v>
      </c>
      <c r="G92" s="24">
        <v>0</v>
      </c>
      <c r="H92" s="24">
        <f>F92*AO92</f>
        <v>0</v>
      </c>
      <c r="I92" s="24">
        <f>F92*AP92</f>
        <v>0</v>
      </c>
      <c r="J92" s="24">
        <f>F92*G92</f>
        <v>0</v>
      </c>
      <c r="K92" s="25" t="s">
        <v>67</v>
      </c>
      <c r="Z92" s="24">
        <f>IF(AQ92="5",BJ92,0)</f>
        <v>0</v>
      </c>
      <c r="AB92" s="24">
        <f>IF(AQ92="1",BH92,0)</f>
        <v>0</v>
      </c>
      <c r="AC92" s="24">
        <f>IF(AQ92="1",BI92,0)</f>
        <v>0</v>
      </c>
      <c r="AD92" s="24">
        <f>IF(AQ92="7",BH92,0)</f>
        <v>0</v>
      </c>
      <c r="AE92" s="24">
        <f>IF(AQ92="7",BI92,0)</f>
        <v>0</v>
      </c>
      <c r="AF92" s="24">
        <f>IF(AQ92="2",BH92,0)</f>
        <v>0</v>
      </c>
      <c r="AG92" s="24">
        <f>IF(AQ92="2",BI92,0)</f>
        <v>0</v>
      </c>
      <c r="AH92" s="24">
        <f>IF(AQ92="0",BJ92,0)</f>
        <v>0</v>
      </c>
      <c r="AI92" s="10" t="s">
        <v>51</v>
      </c>
      <c r="AJ92" s="24">
        <f>IF(AN92=0,J92,0)</f>
        <v>0</v>
      </c>
      <c r="AK92" s="24">
        <f>IF(AN92=12,J92,0)</f>
        <v>0</v>
      </c>
      <c r="AL92" s="24">
        <f>IF(AN92=21,J92,0)</f>
        <v>0</v>
      </c>
      <c r="AN92" s="24">
        <v>21</v>
      </c>
      <c r="AO92" s="24">
        <f>G92*0</f>
        <v>0</v>
      </c>
      <c r="AP92" s="24">
        <f>G92*(1-0)</f>
        <v>0</v>
      </c>
      <c r="AQ92" s="26" t="s">
        <v>54</v>
      </c>
      <c r="AV92" s="24">
        <f>AW92+AX92</f>
        <v>0</v>
      </c>
      <c r="AW92" s="24">
        <f>F92*AO92</f>
        <v>0</v>
      </c>
      <c r="AX92" s="24">
        <f>F92*AP92</f>
        <v>0</v>
      </c>
      <c r="AY92" s="26" t="s">
        <v>208</v>
      </c>
      <c r="AZ92" s="26" t="s">
        <v>209</v>
      </c>
      <c r="BA92" s="10" t="s">
        <v>59</v>
      </c>
      <c r="BC92" s="24">
        <f>AW92+AX92</f>
        <v>0</v>
      </c>
      <c r="BD92" s="24">
        <f>G92/(100-BE92)*100</f>
        <v>0</v>
      </c>
      <c r="BE92" s="24">
        <v>0</v>
      </c>
      <c r="BF92" s="24">
        <f>92</f>
        <v>92</v>
      </c>
      <c r="BH92" s="24">
        <f>F92*AO92</f>
        <v>0</v>
      </c>
      <c r="BI92" s="24">
        <f>F92*AP92</f>
        <v>0</v>
      </c>
      <c r="BJ92" s="24">
        <f>F92*G92</f>
        <v>0</v>
      </c>
      <c r="BK92" s="24"/>
      <c r="BL92" s="24">
        <v>96</v>
      </c>
      <c r="BW92" s="24">
        <v>21</v>
      </c>
      <c r="BX92" s="4" t="s">
        <v>221</v>
      </c>
    </row>
    <row r="93" spans="1:76">
      <c r="A93" s="27"/>
      <c r="C93" s="28" t="s">
        <v>222</v>
      </c>
      <c r="D93" s="28" t="s">
        <v>51</v>
      </c>
      <c r="F93" s="29">
        <v>4</v>
      </c>
      <c r="K93" s="30"/>
    </row>
    <row r="94" spans="1:76">
      <c r="A94" s="27"/>
      <c r="C94" s="28" t="s">
        <v>223</v>
      </c>
      <c r="D94" s="28" t="s">
        <v>51</v>
      </c>
      <c r="F94" s="29">
        <v>3</v>
      </c>
      <c r="K94" s="30"/>
    </row>
    <row r="95" spans="1:76">
      <c r="A95" s="27"/>
      <c r="C95" s="28" t="s">
        <v>224</v>
      </c>
      <c r="D95" s="28" t="s">
        <v>51</v>
      </c>
      <c r="F95" s="29">
        <v>2</v>
      </c>
      <c r="K95" s="30"/>
    </row>
    <row r="96" spans="1:76">
      <c r="A96" s="27"/>
      <c r="C96" s="28" t="s">
        <v>225</v>
      </c>
      <c r="D96" s="28" t="s">
        <v>51</v>
      </c>
      <c r="F96" s="29">
        <v>12</v>
      </c>
      <c r="K96" s="30"/>
    </row>
    <row r="97" spans="1:76">
      <c r="A97" s="2" t="s">
        <v>226</v>
      </c>
      <c r="B97" s="3" t="s">
        <v>227</v>
      </c>
      <c r="C97" s="73" t="s">
        <v>228</v>
      </c>
      <c r="D97" s="68"/>
      <c r="E97" s="3" t="s">
        <v>78</v>
      </c>
      <c r="F97" s="24">
        <v>10.48</v>
      </c>
      <c r="G97" s="24">
        <v>0</v>
      </c>
      <c r="H97" s="24">
        <f>F97*AO97</f>
        <v>0</v>
      </c>
      <c r="I97" s="24">
        <f>F97*AP97</f>
        <v>0</v>
      </c>
      <c r="J97" s="24">
        <f>F97*G97</f>
        <v>0</v>
      </c>
      <c r="K97" s="25" t="s">
        <v>67</v>
      </c>
      <c r="Z97" s="24">
        <f>IF(AQ97="5",BJ97,0)</f>
        <v>0</v>
      </c>
      <c r="AB97" s="24">
        <f>IF(AQ97="1",BH97,0)</f>
        <v>0</v>
      </c>
      <c r="AC97" s="24">
        <f>IF(AQ97="1",BI97,0)</f>
        <v>0</v>
      </c>
      <c r="AD97" s="24">
        <f>IF(AQ97="7",BH97,0)</f>
        <v>0</v>
      </c>
      <c r="AE97" s="24">
        <f>IF(AQ97="7",BI97,0)</f>
        <v>0</v>
      </c>
      <c r="AF97" s="24">
        <f>IF(AQ97="2",BH97,0)</f>
        <v>0</v>
      </c>
      <c r="AG97" s="24">
        <f>IF(AQ97="2",BI97,0)</f>
        <v>0</v>
      </c>
      <c r="AH97" s="24">
        <f>IF(AQ97="0",BJ97,0)</f>
        <v>0</v>
      </c>
      <c r="AI97" s="10" t="s">
        <v>51</v>
      </c>
      <c r="AJ97" s="24">
        <f>IF(AN97=0,J97,0)</f>
        <v>0</v>
      </c>
      <c r="AK97" s="24">
        <f>IF(AN97=12,J97,0)</f>
        <v>0</v>
      </c>
      <c r="AL97" s="24">
        <f>IF(AN97=21,J97,0)</f>
        <v>0</v>
      </c>
      <c r="AN97" s="24">
        <v>21</v>
      </c>
      <c r="AO97" s="24">
        <f>G97*0.093772071</f>
        <v>0</v>
      </c>
      <c r="AP97" s="24">
        <f>G97*(1-0.093772071)</f>
        <v>0</v>
      </c>
      <c r="AQ97" s="26" t="s">
        <v>54</v>
      </c>
      <c r="AV97" s="24">
        <f>AW97+AX97</f>
        <v>0</v>
      </c>
      <c r="AW97" s="24">
        <f>F97*AO97</f>
        <v>0</v>
      </c>
      <c r="AX97" s="24">
        <f>F97*AP97</f>
        <v>0</v>
      </c>
      <c r="AY97" s="26" t="s">
        <v>208</v>
      </c>
      <c r="AZ97" s="26" t="s">
        <v>209</v>
      </c>
      <c r="BA97" s="10" t="s">
        <v>59</v>
      </c>
      <c r="BC97" s="24">
        <f>AW97+AX97</f>
        <v>0</v>
      </c>
      <c r="BD97" s="24">
        <f>G97/(100-BE97)*100</f>
        <v>0</v>
      </c>
      <c r="BE97" s="24">
        <v>0</v>
      </c>
      <c r="BF97" s="24">
        <f>97</f>
        <v>97</v>
      </c>
      <c r="BH97" s="24">
        <f>F97*AO97</f>
        <v>0</v>
      </c>
      <c r="BI97" s="24">
        <f>F97*AP97</f>
        <v>0</v>
      </c>
      <c r="BJ97" s="24">
        <f>F97*G97</f>
        <v>0</v>
      </c>
      <c r="BK97" s="24"/>
      <c r="BL97" s="24">
        <v>96</v>
      </c>
      <c r="BW97" s="24">
        <v>21</v>
      </c>
      <c r="BX97" s="4" t="s">
        <v>228</v>
      </c>
    </row>
    <row r="98" spans="1:76">
      <c r="A98" s="27"/>
      <c r="C98" s="28" t="s">
        <v>229</v>
      </c>
      <c r="D98" s="28" t="s">
        <v>51</v>
      </c>
      <c r="F98" s="29">
        <v>2.88</v>
      </c>
      <c r="K98" s="30"/>
    </row>
    <row r="99" spans="1:76">
      <c r="A99" s="27"/>
      <c r="C99" s="28" t="s">
        <v>230</v>
      </c>
      <c r="D99" s="28" t="s">
        <v>51</v>
      </c>
      <c r="F99" s="29">
        <v>7.6</v>
      </c>
      <c r="K99" s="30"/>
    </row>
    <row r="100" spans="1:76">
      <c r="A100" s="2" t="s">
        <v>231</v>
      </c>
      <c r="B100" s="3" t="s">
        <v>232</v>
      </c>
      <c r="C100" s="73" t="s">
        <v>233</v>
      </c>
      <c r="D100" s="68"/>
      <c r="E100" s="3" t="s">
        <v>78</v>
      </c>
      <c r="F100" s="24">
        <v>2.86</v>
      </c>
      <c r="G100" s="24">
        <v>0</v>
      </c>
      <c r="H100" s="24">
        <f>F100*AO100</f>
        <v>0</v>
      </c>
      <c r="I100" s="24">
        <f>F100*AP100</f>
        <v>0</v>
      </c>
      <c r="J100" s="24">
        <f>F100*G100</f>
        <v>0</v>
      </c>
      <c r="K100" s="25" t="s">
        <v>67</v>
      </c>
      <c r="Z100" s="24">
        <f>IF(AQ100="5",BJ100,0)</f>
        <v>0</v>
      </c>
      <c r="AB100" s="24">
        <f>IF(AQ100="1",BH100,0)</f>
        <v>0</v>
      </c>
      <c r="AC100" s="24">
        <f>IF(AQ100="1",BI100,0)</f>
        <v>0</v>
      </c>
      <c r="AD100" s="24">
        <f>IF(AQ100="7",BH100,0)</f>
        <v>0</v>
      </c>
      <c r="AE100" s="24">
        <f>IF(AQ100="7",BI100,0)</f>
        <v>0</v>
      </c>
      <c r="AF100" s="24">
        <f>IF(AQ100="2",BH100,0)</f>
        <v>0</v>
      </c>
      <c r="AG100" s="24">
        <f>IF(AQ100="2",BI100,0)</f>
        <v>0</v>
      </c>
      <c r="AH100" s="24">
        <f>IF(AQ100="0",BJ100,0)</f>
        <v>0</v>
      </c>
      <c r="AI100" s="10" t="s">
        <v>51</v>
      </c>
      <c r="AJ100" s="24">
        <f>IF(AN100=0,J100,0)</f>
        <v>0</v>
      </c>
      <c r="AK100" s="24">
        <f>IF(AN100=12,J100,0)</f>
        <v>0</v>
      </c>
      <c r="AL100" s="24">
        <f>IF(AN100=21,J100,0)</f>
        <v>0</v>
      </c>
      <c r="AN100" s="24">
        <v>21</v>
      </c>
      <c r="AO100" s="24">
        <f>G100*0.111033058</f>
        <v>0</v>
      </c>
      <c r="AP100" s="24">
        <f>G100*(1-0.111033058)</f>
        <v>0</v>
      </c>
      <c r="AQ100" s="26" t="s">
        <v>54</v>
      </c>
      <c r="AV100" s="24">
        <f>AW100+AX100</f>
        <v>0</v>
      </c>
      <c r="AW100" s="24">
        <f>F100*AO100</f>
        <v>0</v>
      </c>
      <c r="AX100" s="24">
        <f>F100*AP100</f>
        <v>0</v>
      </c>
      <c r="AY100" s="26" t="s">
        <v>208</v>
      </c>
      <c r="AZ100" s="26" t="s">
        <v>209</v>
      </c>
      <c r="BA100" s="10" t="s">
        <v>59</v>
      </c>
      <c r="BC100" s="24">
        <f>AW100+AX100</f>
        <v>0</v>
      </c>
      <c r="BD100" s="24">
        <f>G100/(100-BE100)*100</f>
        <v>0</v>
      </c>
      <c r="BE100" s="24">
        <v>0</v>
      </c>
      <c r="BF100" s="24">
        <f>100</f>
        <v>100</v>
      </c>
      <c r="BH100" s="24">
        <f>F100*AO100</f>
        <v>0</v>
      </c>
      <c r="BI100" s="24">
        <f>F100*AP100</f>
        <v>0</v>
      </c>
      <c r="BJ100" s="24">
        <f>F100*G100</f>
        <v>0</v>
      </c>
      <c r="BK100" s="24"/>
      <c r="BL100" s="24">
        <v>96</v>
      </c>
      <c r="BW100" s="24">
        <v>21</v>
      </c>
      <c r="BX100" s="4" t="s">
        <v>233</v>
      </c>
    </row>
    <row r="101" spans="1:76">
      <c r="A101" s="27"/>
      <c r="C101" s="28" t="s">
        <v>234</v>
      </c>
      <c r="D101" s="28" t="s">
        <v>51</v>
      </c>
      <c r="F101" s="29">
        <v>2.86</v>
      </c>
      <c r="K101" s="30"/>
    </row>
    <row r="102" spans="1:76">
      <c r="A102" s="2" t="s">
        <v>235</v>
      </c>
      <c r="B102" s="3" t="s">
        <v>236</v>
      </c>
      <c r="C102" s="73" t="s">
        <v>237</v>
      </c>
      <c r="D102" s="68"/>
      <c r="E102" s="3" t="s">
        <v>151</v>
      </c>
      <c r="F102" s="24">
        <v>4</v>
      </c>
      <c r="G102" s="24">
        <v>0</v>
      </c>
      <c r="H102" s="24">
        <f>F102*AO102</f>
        <v>0</v>
      </c>
      <c r="I102" s="24">
        <f>F102*AP102</f>
        <v>0</v>
      </c>
      <c r="J102" s="24">
        <f>F102*G102</f>
        <v>0</v>
      </c>
      <c r="K102" s="25" t="s">
        <v>67</v>
      </c>
      <c r="Z102" s="24">
        <f>IF(AQ102="5",BJ102,0)</f>
        <v>0</v>
      </c>
      <c r="AB102" s="24">
        <f>IF(AQ102="1",BH102,0)</f>
        <v>0</v>
      </c>
      <c r="AC102" s="24">
        <f>IF(AQ102="1",BI102,0)</f>
        <v>0</v>
      </c>
      <c r="AD102" s="24">
        <f>IF(AQ102="7",BH102,0)</f>
        <v>0</v>
      </c>
      <c r="AE102" s="24">
        <f>IF(AQ102="7",BI102,0)</f>
        <v>0</v>
      </c>
      <c r="AF102" s="24">
        <f>IF(AQ102="2",BH102,0)</f>
        <v>0</v>
      </c>
      <c r="AG102" s="24">
        <f>IF(AQ102="2",BI102,0)</f>
        <v>0</v>
      </c>
      <c r="AH102" s="24">
        <f>IF(AQ102="0",BJ102,0)</f>
        <v>0</v>
      </c>
      <c r="AI102" s="10" t="s">
        <v>51</v>
      </c>
      <c r="AJ102" s="24">
        <f>IF(AN102=0,J102,0)</f>
        <v>0</v>
      </c>
      <c r="AK102" s="24">
        <f>IF(AN102=12,J102,0)</f>
        <v>0</v>
      </c>
      <c r="AL102" s="24">
        <f>IF(AN102=21,J102,0)</f>
        <v>0</v>
      </c>
      <c r="AN102" s="24">
        <v>21</v>
      </c>
      <c r="AO102" s="24">
        <f>G102*0</f>
        <v>0</v>
      </c>
      <c r="AP102" s="24">
        <f>G102*(1-0)</f>
        <v>0</v>
      </c>
      <c r="AQ102" s="26" t="s">
        <v>54</v>
      </c>
      <c r="AV102" s="24">
        <f>AW102+AX102</f>
        <v>0</v>
      </c>
      <c r="AW102" s="24">
        <f>F102*AO102</f>
        <v>0</v>
      </c>
      <c r="AX102" s="24">
        <f>F102*AP102</f>
        <v>0</v>
      </c>
      <c r="AY102" s="26" t="s">
        <v>208</v>
      </c>
      <c r="AZ102" s="26" t="s">
        <v>209</v>
      </c>
      <c r="BA102" s="10" t="s">
        <v>59</v>
      </c>
      <c r="BC102" s="24">
        <f>AW102+AX102</f>
        <v>0</v>
      </c>
      <c r="BD102" s="24">
        <f>G102/(100-BE102)*100</f>
        <v>0</v>
      </c>
      <c r="BE102" s="24">
        <v>0</v>
      </c>
      <c r="BF102" s="24">
        <f>102</f>
        <v>102</v>
      </c>
      <c r="BH102" s="24">
        <f>F102*AO102</f>
        <v>0</v>
      </c>
      <c r="BI102" s="24">
        <f>F102*AP102</f>
        <v>0</v>
      </c>
      <c r="BJ102" s="24">
        <f>F102*G102</f>
        <v>0</v>
      </c>
      <c r="BK102" s="24"/>
      <c r="BL102" s="24">
        <v>96</v>
      </c>
      <c r="BW102" s="24">
        <v>21</v>
      </c>
      <c r="BX102" s="4" t="s">
        <v>237</v>
      </c>
    </row>
    <row r="103" spans="1:76">
      <c r="A103" s="27"/>
      <c r="C103" s="28" t="s">
        <v>222</v>
      </c>
      <c r="D103" s="28" t="s">
        <v>51</v>
      </c>
      <c r="F103" s="29">
        <v>4</v>
      </c>
      <c r="K103" s="30"/>
    </row>
    <row r="104" spans="1:76">
      <c r="A104" s="2" t="s">
        <v>238</v>
      </c>
      <c r="B104" s="3" t="s">
        <v>239</v>
      </c>
      <c r="C104" s="73" t="s">
        <v>240</v>
      </c>
      <c r="D104" s="68"/>
      <c r="E104" s="3" t="s">
        <v>151</v>
      </c>
      <c r="F104" s="24">
        <v>20</v>
      </c>
      <c r="G104" s="24">
        <v>0</v>
      </c>
      <c r="H104" s="24">
        <f>F104*AO104</f>
        <v>0</v>
      </c>
      <c r="I104" s="24">
        <f>F104*AP104</f>
        <v>0</v>
      </c>
      <c r="J104" s="24">
        <f>F104*G104</f>
        <v>0</v>
      </c>
      <c r="K104" s="25" t="s">
        <v>67</v>
      </c>
      <c r="Z104" s="24">
        <f>IF(AQ104="5",BJ104,0)</f>
        <v>0</v>
      </c>
      <c r="AB104" s="24">
        <f>IF(AQ104="1",BH104,0)</f>
        <v>0</v>
      </c>
      <c r="AC104" s="24">
        <f>IF(AQ104="1",BI104,0)</f>
        <v>0</v>
      </c>
      <c r="AD104" s="24">
        <f>IF(AQ104="7",BH104,0)</f>
        <v>0</v>
      </c>
      <c r="AE104" s="24">
        <f>IF(AQ104="7",BI104,0)</f>
        <v>0</v>
      </c>
      <c r="AF104" s="24">
        <f>IF(AQ104="2",BH104,0)</f>
        <v>0</v>
      </c>
      <c r="AG104" s="24">
        <f>IF(AQ104="2",BI104,0)</f>
        <v>0</v>
      </c>
      <c r="AH104" s="24">
        <f>IF(AQ104="0",BJ104,0)</f>
        <v>0</v>
      </c>
      <c r="AI104" s="10" t="s">
        <v>51</v>
      </c>
      <c r="AJ104" s="24">
        <f>IF(AN104=0,J104,0)</f>
        <v>0</v>
      </c>
      <c r="AK104" s="24">
        <f>IF(AN104=12,J104,0)</f>
        <v>0</v>
      </c>
      <c r="AL104" s="24">
        <f>IF(AN104=21,J104,0)</f>
        <v>0</v>
      </c>
      <c r="AN104" s="24">
        <v>21</v>
      </c>
      <c r="AO104" s="24">
        <f>G104*0</f>
        <v>0</v>
      </c>
      <c r="AP104" s="24">
        <f>G104*(1-0)</f>
        <v>0</v>
      </c>
      <c r="AQ104" s="26" t="s">
        <v>54</v>
      </c>
      <c r="AV104" s="24">
        <f>AW104+AX104</f>
        <v>0</v>
      </c>
      <c r="AW104" s="24">
        <f>F104*AO104</f>
        <v>0</v>
      </c>
      <c r="AX104" s="24">
        <f>F104*AP104</f>
        <v>0</v>
      </c>
      <c r="AY104" s="26" t="s">
        <v>208</v>
      </c>
      <c r="AZ104" s="26" t="s">
        <v>209</v>
      </c>
      <c r="BA104" s="10" t="s">
        <v>59</v>
      </c>
      <c r="BC104" s="24">
        <f>AW104+AX104</f>
        <v>0</v>
      </c>
      <c r="BD104" s="24">
        <f>G104/(100-BE104)*100</f>
        <v>0</v>
      </c>
      <c r="BE104" s="24">
        <v>0</v>
      </c>
      <c r="BF104" s="24">
        <f>104</f>
        <v>104</v>
      </c>
      <c r="BH104" s="24">
        <f>F104*AO104</f>
        <v>0</v>
      </c>
      <c r="BI104" s="24">
        <f>F104*AP104</f>
        <v>0</v>
      </c>
      <c r="BJ104" s="24">
        <f>F104*G104</f>
        <v>0</v>
      </c>
      <c r="BK104" s="24"/>
      <c r="BL104" s="24">
        <v>96</v>
      </c>
      <c r="BW104" s="24">
        <v>21</v>
      </c>
      <c r="BX104" s="4" t="s">
        <v>240</v>
      </c>
    </row>
    <row r="105" spans="1:76">
      <c r="A105" s="27"/>
      <c r="C105" s="28" t="s">
        <v>222</v>
      </c>
      <c r="D105" s="28" t="s">
        <v>51</v>
      </c>
      <c r="F105" s="29">
        <v>4</v>
      </c>
      <c r="K105" s="30"/>
    </row>
    <row r="106" spans="1:76">
      <c r="A106" s="27"/>
      <c r="C106" s="28" t="s">
        <v>241</v>
      </c>
      <c r="D106" s="28" t="s">
        <v>51</v>
      </c>
      <c r="F106" s="29">
        <v>16</v>
      </c>
      <c r="K106" s="30"/>
    </row>
    <row r="107" spans="1:76">
      <c r="A107" s="2" t="s">
        <v>242</v>
      </c>
      <c r="B107" s="3" t="s">
        <v>243</v>
      </c>
      <c r="C107" s="73" t="s">
        <v>244</v>
      </c>
      <c r="D107" s="68"/>
      <c r="E107" s="3" t="s">
        <v>78</v>
      </c>
      <c r="F107" s="24">
        <v>72.249750000000006</v>
      </c>
      <c r="G107" s="24">
        <v>0</v>
      </c>
      <c r="H107" s="24">
        <f>F107*AO107</f>
        <v>0</v>
      </c>
      <c r="I107" s="24">
        <f>F107*AP107</f>
        <v>0</v>
      </c>
      <c r="J107" s="24">
        <f>F107*G107</f>
        <v>0</v>
      </c>
      <c r="K107" s="25" t="s">
        <v>67</v>
      </c>
      <c r="Z107" s="24">
        <f>IF(AQ107="5",BJ107,0)</f>
        <v>0</v>
      </c>
      <c r="AB107" s="24">
        <f>IF(AQ107="1",BH107,0)</f>
        <v>0</v>
      </c>
      <c r="AC107" s="24">
        <f>IF(AQ107="1",BI107,0)</f>
        <v>0</v>
      </c>
      <c r="AD107" s="24">
        <f>IF(AQ107="7",BH107,0)</f>
        <v>0</v>
      </c>
      <c r="AE107" s="24">
        <f>IF(AQ107="7",BI107,0)</f>
        <v>0</v>
      </c>
      <c r="AF107" s="24">
        <f>IF(AQ107="2",BH107,0)</f>
        <v>0</v>
      </c>
      <c r="AG107" s="24">
        <f>IF(AQ107="2",BI107,0)</f>
        <v>0</v>
      </c>
      <c r="AH107" s="24">
        <f>IF(AQ107="0",BJ107,0)</f>
        <v>0</v>
      </c>
      <c r="AI107" s="10" t="s">
        <v>51</v>
      </c>
      <c r="AJ107" s="24">
        <f>IF(AN107=0,J107,0)</f>
        <v>0</v>
      </c>
      <c r="AK107" s="24">
        <f>IF(AN107=12,J107,0)</f>
        <v>0</v>
      </c>
      <c r="AL107" s="24">
        <f>IF(AN107=21,J107,0)</f>
        <v>0</v>
      </c>
      <c r="AN107" s="24">
        <v>21</v>
      </c>
      <c r="AO107" s="24">
        <f>G107*0.092351281</f>
        <v>0</v>
      </c>
      <c r="AP107" s="24">
        <f>G107*(1-0.092351281)</f>
        <v>0</v>
      </c>
      <c r="AQ107" s="26" t="s">
        <v>54</v>
      </c>
      <c r="AV107" s="24">
        <f>AW107+AX107</f>
        <v>0</v>
      </c>
      <c r="AW107" s="24">
        <f>F107*AO107</f>
        <v>0</v>
      </c>
      <c r="AX107" s="24">
        <f>F107*AP107</f>
        <v>0</v>
      </c>
      <c r="AY107" s="26" t="s">
        <v>208</v>
      </c>
      <c r="AZ107" s="26" t="s">
        <v>209</v>
      </c>
      <c r="BA107" s="10" t="s">
        <v>59</v>
      </c>
      <c r="BC107" s="24">
        <f>AW107+AX107</f>
        <v>0</v>
      </c>
      <c r="BD107" s="24">
        <f>G107/(100-BE107)*100</f>
        <v>0</v>
      </c>
      <c r="BE107" s="24">
        <v>0</v>
      </c>
      <c r="BF107" s="24">
        <f>107</f>
        <v>107</v>
      </c>
      <c r="BH107" s="24">
        <f>F107*AO107</f>
        <v>0</v>
      </c>
      <c r="BI107" s="24">
        <f>F107*AP107</f>
        <v>0</v>
      </c>
      <c r="BJ107" s="24">
        <f>F107*G107</f>
        <v>0</v>
      </c>
      <c r="BK107" s="24"/>
      <c r="BL107" s="24">
        <v>96</v>
      </c>
      <c r="BW107" s="24">
        <v>21</v>
      </c>
      <c r="BX107" s="4" t="s">
        <v>244</v>
      </c>
    </row>
    <row r="108" spans="1:76">
      <c r="A108" s="27"/>
      <c r="C108" s="28" t="s">
        <v>245</v>
      </c>
      <c r="D108" s="28" t="s">
        <v>51</v>
      </c>
      <c r="F108" s="29">
        <v>7.5</v>
      </c>
      <c r="K108" s="30"/>
    </row>
    <row r="109" spans="1:76">
      <c r="A109" s="27"/>
      <c r="C109" s="28" t="s">
        <v>246</v>
      </c>
      <c r="D109" s="28" t="s">
        <v>51</v>
      </c>
      <c r="F109" s="29">
        <v>14.598750000000001</v>
      </c>
      <c r="K109" s="30"/>
    </row>
    <row r="110" spans="1:76">
      <c r="A110" s="27"/>
      <c r="C110" s="28" t="s">
        <v>247</v>
      </c>
      <c r="D110" s="28" t="s">
        <v>51</v>
      </c>
      <c r="F110" s="29">
        <v>50.151000000000003</v>
      </c>
      <c r="K110" s="30"/>
    </row>
    <row r="111" spans="1:76">
      <c r="A111" s="2" t="s">
        <v>248</v>
      </c>
      <c r="B111" s="3" t="s">
        <v>249</v>
      </c>
      <c r="C111" s="73" t="s">
        <v>250</v>
      </c>
      <c r="D111" s="68"/>
      <c r="E111" s="3" t="s">
        <v>151</v>
      </c>
      <c r="F111" s="24">
        <v>1</v>
      </c>
      <c r="G111" s="24">
        <v>0</v>
      </c>
      <c r="H111" s="24">
        <f>F111*AO111</f>
        <v>0</v>
      </c>
      <c r="I111" s="24">
        <f>F111*AP111</f>
        <v>0</v>
      </c>
      <c r="J111" s="24">
        <f>F111*G111</f>
        <v>0</v>
      </c>
      <c r="K111" s="25" t="s">
        <v>67</v>
      </c>
      <c r="Z111" s="24">
        <f>IF(AQ111="5",BJ111,0)</f>
        <v>0</v>
      </c>
      <c r="AB111" s="24">
        <f>IF(AQ111="1",BH111,0)</f>
        <v>0</v>
      </c>
      <c r="AC111" s="24">
        <f>IF(AQ111="1",BI111,0)</f>
        <v>0</v>
      </c>
      <c r="AD111" s="24">
        <f>IF(AQ111="7",BH111,0)</f>
        <v>0</v>
      </c>
      <c r="AE111" s="24">
        <f>IF(AQ111="7",BI111,0)</f>
        <v>0</v>
      </c>
      <c r="AF111" s="24">
        <f>IF(AQ111="2",BH111,0)</f>
        <v>0</v>
      </c>
      <c r="AG111" s="24">
        <f>IF(AQ111="2",BI111,0)</f>
        <v>0</v>
      </c>
      <c r="AH111" s="24">
        <f>IF(AQ111="0",BJ111,0)</f>
        <v>0</v>
      </c>
      <c r="AI111" s="10" t="s">
        <v>51</v>
      </c>
      <c r="AJ111" s="24">
        <f>IF(AN111=0,J111,0)</f>
        <v>0</v>
      </c>
      <c r="AK111" s="24">
        <f>IF(AN111=12,J111,0)</f>
        <v>0</v>
      </c>
      <c r="AL111" s="24">
        <f>IF(AN111=21,J111,0)</f>
        <v>0</v>
      </c>
      <c r="AN111" s="24">
        <v>21</v>
      </c>
      <c r="AO111" s="24">
        <f>G111*0</f>
        <v>0</v>
      </c>
      <c r="AP111" s="24">
        <f>G111*(1-0)</f>
        <v>0</v>
      </c>
      <c r="AQ111" s="26" t="s">
        <v>54</v>
      </c>
      <c r="AV111" s="24">
        <f>AW111+AX111</f>
        <v>0</v>
      </c>
      <c r="AW111" s="24">
        <f>F111*AO111</f>
        <v>0</v>
      </c>
      <c r="AX111" s="24">
        <f>F111*AP111</f>
        <v>0</v>
      </c>
      <c r="AY111" s="26" t="s">
        <v>208</v>
      </c>
      <c r="AZ111" s="26" t="s">
        <v>209</v>
      </c>
      <c r="BA111" s="10" t="s">
        <v>59</v>
      </c>
      <c r="BC111" s="24">
        <f>AW111+AX111</f>
        <v>0</v>
      </c>
      <c r="BD111" s="24">
        <f>G111/(100-BE111)*100</f>
        <v>0</v>
      </c>
      <c r="BE111" s="24">
        <v>0</v>
      </c>
      <c r="BF111" s="24">
        <f>111</f>
        <v>111</v>
      </c>
      <c r="BH111" s="24">
        <f>F111*AO111</f>
        <v>0</v>
      </c>
      <c r="BI111" s="24">
        <f>F111*AP111</f>
        <v>0</v>
      </c>
      <c r="BJ111" s="24">
        <f>F111*G111</f>
        <v>0</v>
      </c>
      <c r="BK111" s="24"/>
      <c r="BL111" s="24">
        <v>96</v>
      </c>
      <c r="BW111" s="24">
        <v>21</v>
      </c>
      <c r="BX111" s="4" t="s">
        <v>250</v>
      </c>
    </row>
    <row r="112" spans="1:76">
      <c r="A112" s="27"/>
      <c r="C112" s="28" t="s">
        <v>54</v>
      </c>
      <c r="D112" s="28" t="s">
        <v>51</v>
      </c>
      <c r="F112" s="29">
        <v>1</v>
      </c>
      <c r="K112" s="30"/>
    </row>
    <row r="113" spans="1:76">
      <c r="A113" s="2" t="s">
        <v>251</v>
      </c>
      <c r="B113" s="3" t="s">
        <v>252</v>
      </c>
      <c r="C113" s="73" t="s">
        <v>253</v>
      </c>
      <c r="D113" s="68"/>
      <c r="E113" s="3" t="s">
        <v>78</v>
      </c>
      <c r="F113" s="24">
        <v>1.5840000000000001</v>
      </c>
      <c r="G113" s="24">
        <v>0</v>
      </c>
      <c r="H113" s="24">
        <f>F113*AO113</f>
        <v>0</v>
      </c>
      <c r="I113" s="24">
        <f>F113*AP113</f>
        <v>0</v>
      </c>
      <c r="J113" s="24">
        <f>F113*G113</f>
        <v>0</v>
      </c>
      <c r="K113" s="25" t="s">
        <v>67</v>
      </c>
      <c r="Z113" s="24">
        <f>IF(AQ113="5",BJ113,0)</f>
        <v>0</v>
      </c>
      <c r="AB113" s="24">
        <f>IF(AQ113="1",BH113,0)</f>
        <v>0</v>
      </c>
      <c r="AC113" s="24">
        <f>IF(AQ113="1",BI113,0)</f>
        <v>0</v>
      </c>
      <c r="AD113" s="24">
        <f>IF(AQ113="7",BH113,0)</f>
        <v>0</v>
      </c>
      <c r="AE113" s="24">
        <f>IF(AQ113="7",BI113,0)</f>
        <v>0</v>
      </c>
      <c r="AF113" s="24">
        <f>IF(AQ113="2",BH113,0)</f>
        <v>0</v>
      </c>
      <c r="AG113" s="24">
        <f>IF(AQ113="2",BI113,0)</f>
        <v>0</v>
      </c>
      <c r="AH113" s="24">
        <f>IF(AQ113="0",BJ113,0)</f>
        <v>0</v>
      </c>
      <c r="AI113" s="10" t="s">
        <v>51</v>
      </c>
      <c r="AJ113" s="24">
        <f>IF(AN113=0,J113,0)</f>
        <v>0</v>
      </c>
      <c r="AK113" s="24">
        <f>IF(AN113=12,J113,0)</f>
        <v>0</v>
      </c>
      <c r="AL113" s="24">
        <f>IF(AN113=21,J113,0)</f>
        <v>0</v>
      </c>
      <c r="AN113" s="24">
        <v>21</v>
      </c>
      <c r="AO113" s="24">
        <f>G113*0.073406136</f>
        <v>0</v>
      </c>
      <c r="AP113" s="24">
        <f>G113*(1-0.073406136)</f>
        <v>0</v>
      </c>
      <c r="AQ113" s="26" t="s">
        <v>54</v>
      </c>
      <c r="AV113" s="24">
        <f>AW113+AX113</f>
        <v>0</v>
      </c>
      <c r="AW113" s="24">
        <f>F113*AO113</f>
        <v>0</v>
      </c>
      <c r="AX113" s="24">
        <f>F113*AP113</f>
        <v>0</v>
      </c>
      <c r="AY113" s="26" t="s">
        <v>208</v>
      </c>
      <c r="AZ113" s="26" t="s">
        <v>209</v>
      </c>
      <c r="BA113" s="10" t="s">
        <v>59</v>
      </c>
      <c r="BC113" s="24">
        <f>AW113+AX113</f>
        <v>0</v>
      </c>
      <c r="BD113" s="24">
        <f>G113/(100-BE113)*100</f>
        <v>0</v>
      </c>
      <c r="BE113" s="24">
        <v>0</v>
      </c>
      <c r="BF113" s="24">
        <f>113</f>
        <v>113</v>
      </c>
      <c r="BH113" s="24">
        <f>F113*AO113</f>
        <v>0</v>
      </c>
      <c r="BI113" s="24">
        <f>F113*AP113</f>
        <v>0</v>
      </c>
      <c r="BJ113" s="24">
        <f>F113*G113</f>
        <v>0</v>
      </c>
      <c r="BK113" s="24"/>
      <c r="BL113" s="24">
        <v>96</v>
      </c>
      <c r="BW113" s="24">
        <v>21</v>
      </c>
      <c r="BX113" s="4" t="s">
        <v>253</v>
      </c>
    </row>
    <row r="114" spans="1:76">
      <c r="A114" s="27"/>
      <c r="C114" s="28" t="s">
        <v>254</v>
      </c>
      <c r="D114" s="28" t="s">
        <v>51</v>
      </c>
      <c r="F114" s="29">
        <v>1.5840000000000001</v>
      </c>
      <c r="K114" s="30"/>
    </row>
    <row r="115" spans="1:76">
      <c r="A115" s="2" t="s">
        <v>255</v>
      </c>
      <c r="B115" s="3" t="s">
        <v>256</v>
      </c>
      <c r="C115" s="73" t="s">
        <v>257</v>
      </c>
      <c r="D115" s="68"/>
      <c r="E115" s="3" t="s">
        <v>151</v>
      </c>
      <c r="F115" s="24">
        <v>13</v>
      </c>
      <c r="G115" s="24">
        <v>0</v>
      </c>
      <c r="H115" s="24">
        <f>F115*AO115</f>
        <v>0</v>
      </c>
      <c r="I115" s="24">
        <f>F115*AP115</f>
        <v>0</v>
      </c>
      <c r="J115" s="24">
        <f>F115*G115</f>
        <v>0</v>
      </c>
      <c r="K115" s="25" t="s">
        <v>67</v>
      </c>
      <c r="Z115" s="24">
        <f>IF(AQ115="5",BJ115,0)</f>
        <v>0</v>
      </c>
      <c r="AB115" s="24">
        <f>IF(AQ115="1",BH115,0)</f>
        <v>0</v>
      </c>
      <c r="AC115" s="24">
        <f>IF(AQ115="1",BI115,0)</f>
        <v>0</v>
      </c>
      <c r="AD115" s="24">
        <f>IF(AQ115="7",BH115,0)</f>
        <v>0</v>
      </c>
      <c r="AE115" s="24">
        <f>IF(AQ115="7",BI115,0)</f>
        <v>0</v>
      </c>
      <c r="AF115" s="24">
        <f>IF(AQ115="2",BH115,0)</f>
        <v>0</v>
      </c>
      <c r="AG115" s="24">
        <f>IF(AQ115="2",BI115,0)</f>
        <v>0</v>
      </c>
      <c r="AH115" s="24">
        <f>IF(AQ115="0",BJ115,0)</f>
        <v>0</v>
      </c>
      <c r="AI115" s="10" t="s">
        <v>51</v>
      </c>
      <c r="AJ115" s="24">
        <f>IF(AN115=0,J115,0)</f>
        <v>0</v>
      </c>
      <c r="AK115" s="24">
        <f>IF(AN115=12,J115,0)</f>
        <v>0</v>
      </c>
      <c r="AL115" s="24">
        <f>IF(AN115=21,J115,0)</f>
        <v>0</v>
      </c>
      <c r="AN115" s="24">
        <v>21</v>
      </c>
      <c r="AO115" s="24">
        <f>G115*0</f>
        <v>0</v>
      </c>
      <c r="AP115" s="24">
        <f>G115*(1-0)</f>
        <v>0</v>
      </c>
      <c r="AQ115" s="26" t="s">
        <v>54</v>
      </c>
      <c r="AV115" s="24">
        <f>AW115+AX115</f>
        <v>0</v>
      </c>
      <c r="AW115" s="24">
        <f>F115*AO115</f>
        <v>0</v>
      </c>
      <c r="AX115" s="24">
        <f>F115*AP115</f>
        <v>0</v>
      </c>
      <c r="AY115" s="26" t="s">
        <v>208</v>
      </c>
      <c r="AZ115" s="26" t="s">
        <v>209</v>
      </c>
      <c r="BA115" s="10" t="s">
        <v>59</v>
      </c>
      <c r="BC115" s="24">
        <f>AW115+AX115</f>
        <v>0</v>
      </c>
      <c r="BD115" s="24">
        <f>G115/(100-BE115)*100</f>
        <v>0</v>
      </c>
      <c r="BE115" s="24">
        <v>0</v>
      </c>
      <c r="BF115" s="24">
        <f>115</f>
        <v>115</v>
      </c>
      <c r="BH115" s="24">
        <f>F115*AO115</f>
        <v>0</v>
      </c>
      <c r="BI115" s="24">
        <f>F115*AP115</f>
        <v>0</v>
      </c>
      <c r="BJ115" s="24">
        <f>F115*G115</f>
        <v>0</v>
      </c>
      <c r="BK115" s="24"/>
      <c r="BL115" s="24">
        <v>96</v>
      </c>
      <c r="BW115" s="24">
        <v>21</v>
      </c>
      <c r="BX115" s="4" t="s">
        <v>257</v>
      </c>
    </row>
    <row r="116" spans="1:76">
      <c r="A116" s="27"/>
      <c r="C116" s="28" t="s">
        <v>258</v>
      </c>
      <c r="D116" s="28" t="s">
        <v>51</v>
      </c>
      <c r="F116" s="29">
        <v>3</v>
      </c>
      <c r="K116" s="30"/>
    </row>
    <row r="117" spans="1:76">
      <c r="A117" s="27"/>
      <c r="C117" s="28" t="s">
        <v>259</v>
      </c>
      <c r="D117" s="28" t="s">
        <v>51</v>
      </c>
      <c r="F117" s="29">
        <v>2</v>
      </c>
      <c r="K117" s="30"/>
    </row>
    <row r="118" spans="1:76">
      <c r="A118" s="27"/>
      <c r="C118" s="28" t="s">
        <v>260</v>
      </c>
      <c r="D118" s="28" t="s">
        <v>51</v>
      </c>
      <c r="F118" s="29">
        <v>4</v>
      </c>
      <c r="K118" s="30"/>
    </row>
    <row r="119" spans="1:76">
      <c r="A119" s="27"/>
      <c r="C119" s="28" t="s">
        <v>261</v>
      </c>
      <c r="D119" s="28" t="s">
        <v>51</v>
      </c>
      <c r="F119" s="29">
        <v>1</v>
      </c>
      <c r="K119" s="30"/>
    </row>
    <row r="120" spans="1:76">
      <c r="A120" s="27"/>
      <c r="C120" s="28" t="s">
        <v>262</v>
      </c>
      <c r="D120" s="28" t="s">
        <v>51</v>
      </c>
      <c r="F120" s="29">
        <v>1</v>
      </c>
      <c r="K120" s="30"/>
    </row>
    <row r="121" spans="1:76">
      <c r="A121" s="27"/>
      <c r="C121" s="28" t="s">
        <v>263</v>
      </c>
      <c r="D121" s="28" t="s">
        <v>51</v>
      </c>
      <c r="F121" s="29">
        <v>2</v>
      </c>
      <c r="K121" s="30"/>
    </row>
    <row r="122" spans="1:76">
      <c r="A122" s="2" t="s">
        <v>264</v>
      </c>
      <c r="B122" s="3" t="s">
        <v>252</v>
      </c>
      <c r="C122" s="73" t="s">
        <v>253</v>
      </c>
      <c r="D122" s="68"/>
      <c r="E122" s="3" t="s">
        <v>78</v>
      </c>
      <c r="F122" s="24">
        <v>16.054780000000001</v>
      </c>
      <c r="G122" s="24">
        <v>0</v>
      </c>
      <c r="H122" s="24">
        <f>F122*AO122</f>
        <v>0</v>
      </c>
      <c r="I122" s="24">
        <f>F122*AP122</f>
        <v>0</v>
      </c>
      <c r="J122" s="24">
        <f>F122*G122</f>
        <v>0</v>
      </c>
      <c r="K122" s="25" t="s">
        <v>67</v>
      </c>
      <c r="Z122" s="24">
        <f>IF(AQ122="5",BJ122,0)</f>
        <v>0</v>
      </c>
      <c r="AB122" s="24">
        <f>IF(AQ122="1",BH122,0)</f>
        <v>0</v>
      </c>
      <c r="AC122" s="24">
        <f>IF(AQ122="1",BI122,0)</f>
        <v>0</v>
      </c>
      <c r="AD122" s="24">
        <f>IF(AQ122="7",BH122,0)</f>
        <v>0</v>
      </c>
      <c r="AE122" s="24">
        <f>IF(AQ122="7",BI122,0)</f>
        <v>0</v>
      </c>
      <c r="AF122" s="24">
        <f>IF(AQ122="2",BH122,0)</f>
        <v>0</v>
      </c>
      <c r="AG122" s="24">
        <f>IF(AQ122="2",BI122,0)</f>
        <v>0</v>
      </c>
      <c r="AH122" s="24">
        <f>IF(AQ122="0",BJ122,0)</f>
        <v>0</v>
      </c>
      <c r="AI122" s="10" t="s">
        <v>51</v>
      </c>
      <c r="AJ122" s="24">
        <f>IF(AN122=0,J122,0)</f>
        <v>0</v>
      </c>
      <c r="AK122" s="24">
        <f>IF(AN122=12,J122,0)</f>
        <v>0</v>
      </c>
      <c r="AL122" s="24">
        <f>IF(AN122=21,J122,0)</f>
        <v>0</v>
      </c>
      <c r="AN122" s="24">
        <v>21</v>
      </c>
      <c r="AO122" s="24">
        <f>G122*0.073406513</f>
        <v>0</v>
      </c>
      <c r="AP122" s="24">
        <f>G122*(1-0.073406513)</f>
        <v>0</v>
      </c>
      <c r="AQ122" s="26" t="s">
        <v>54</v>
      </c>
      <c r="AV122" s="24">
        <f>AW122+AX122</f>
        <v>0</v>
      </c>
      <c r="AW122" s="24">
        <f>F122*AO122</f>
        <v>0</v>
      </c>
      <c r="AX122" s="24">
        <f>F122*AP122</f>
        <v>0</v>
      </c>
      <c r="AY122" s="26" t="s">
        <v>208</v>
      </c>
      <c r="AZ122" s="26" t="s">
        <v>209</v>
      </c>
      <c r="BA122" s="10" t="s">
        <v>59</v>
      </c>
      <c r="BC122" s="24">
        <f>AW122+AX122</f>
        <v>0</v>
      </c>
      <c r="BD122" s="24">
        <f>G122/(100-BE122)*100</f>
        <v>0</v>
      </c>
      <c r="BE122" s="24">
        <v>0</v>
      </c>
      <c r="BF122" s="24">
        <f>122</f>
        <v>122</v>
      </c>
      <c r="BH122" s="24">
        <f>F122*AO122</f>
        <v>0</v>
      </c>
      <c r="BI122" s="24">
        <f>F122*AP122</f>
        <v>0</v>
      </c>
      <c r="BJ122" s="24">
        <f>F122*G122</f>
        <v>0</v>
      </c>
      <c r="BK122" s="24"/>
      <c r="BL122" s="24">
        <v>96</v>
      </c>
      <c r="BW122" s="24">
        <v>21</v>
      </c>
      <c r="BX122" s="4" t="s">
        <v>253</v>
      </c>
    </row>
    <row r="123" spans="1:76">
      <c r="A123" s="27"/>
      <c r="C123" s="28" t="s">
        <v>265</v>
      </c>
      <c r="D123" s="28" t="s">
        <v>51</v>
      </c>
      <c r="F123" s="29">
        <v>3.5459999999999998</v>
      </c>
      <c r="K123" s="30"/>
    </row>
    <row r="124" spans="1:76">
      <c r="A124" s="27"/>
      <c r="C124" s="28" t="s">
        <v>266</v>
      </c>
      <c r="D124" s="28" t="s">
        <v>51</v>
      </c>
      <c r="F124" s="29">
        <v>2.758</v>
      </c>
      <c r="K124" s="30"/>
    </row>
    <row r="125" spans="1:76">
      <c r="A125" s="27"/>
      <c r="C125" s="28" t="s">
        <v>267</v>
      </c>
      <c r="D125" s="28" t="s">
        <v>51</v>
      </c>
      <c r="F125" s="29">
        <v>6.3040000000000003</v>
      </c>
      <c r="K125" s="30"/>
    </row>
    <row r="126" spans="1:76">
      <c r="A126" s="27"/>
      <c r="C126" s="28" t="s">
        <v>268</v>
      </c>
      <c r="D126" s="28" t="s">
        <v>51</v>
      </c>
      <c r="F126" s="29">
        <v>1.7729999999999999</v>
      </c>
      <c r="K126" s="30"/>
    </row>
    <row r="127" spans="1:76">
      <c r="A127" s="27"/>
      <c r="C127" s="28" t="s">
        <v>269</v>
      </c>
      <c r="D127" s="28" t="s">
        <v>51</v>
      </c>
      <c r="F127" s="29">
        <v>1.67378</v>
      </c>
      <c r="K127" s="30"/>
    </row>
    <row r="128" spans="1:76">
      <c r="A128" s="2" t="s">
        <v>270</v>
      </c>
      <c r="B128" s="3" t="s">
        <v>271</v>
      </c>
      <c r="C128" s="73" t="s">
        <v>272</v>
      </c>
      <c r="D128" s="68"/>
      <c r="E128" s="3" t="s">
        <v>78</v>
      </c>
      <c r="F128" s="24">
        <v>2.8565</v>
      </c>
      <c r="G128" s="24">
        <v>0</v>
      </c>
      <c r="H128" s="24">
        <f>F128*AO128</f>
        <v>0</v>
      </c>
      <c r="I128" s="24">
        <f>F128*AP128</f>
        <v>0</v>
      </c>
      <c r="J128" s="24">
        <f>F128*G128</f>
        <v>0</v>
      </c>
      <c r="K128" s="25" t="s">
        <v>67</v>
      </c>
      <c r="Z128" s="24">
        <f>IF(AQ128="5",BJ128,0)</f>
        <v>0</v>
      </c>
      <c r="AB128" s="24">
        <f>IF(AQ128="1",BH128,0)</f>
        <v>0</v>
      </c>
      <c r="AC128" s="24">
        <f>IF(AQ128="1",BI128,0)</f>
        <v>0</v>
      </c>
      <c r="AD128" s="24">
        <f>IF(AQ128="7",BH128,0)</f>
        <v>0</v>
      </c>
      <c r="AE128" s="24">
        <f>IF(AQ128="7",BI128,0)</f>
        <v>0</v>
      </c>
      <c r="AF128" s="24">
        <f>IF(AQ128="2",BH128,0)</f>
        <v>0</v>
      </c>
      <c r="AG128" s="24">
        <f>IF(AQ128="2",BI128,0)</f>
        <v>0</v>
      </c>
      <c r="AH128" s="24">
        <f>IF(AQ128="0",BJ128,0)</f>
        <v>0</v>
      </c>
      <c r="AI128" s="10" t="s">
        <v>51</v>
      </c>
      <c r="AJ128" s="24">
        <f>IF(AN128=0,J128,0)</f>
        <v>0</v>
      </c>
      <c r="AK128" s="24">
        <f>IF(AN128=12,J128,0)</f>
        <v>0</v>
      </c>
      <c r="AL128" s="24">
        <f>IF(AN128=21,J128,0)</f>
        <v>0</v>
      </c>
      <c r="AN128" s="24">
        <v>21</v>
      </c>
      <c r="AO128" s="24">
        <f>G128*0.081251877</f>
        <v>0</v>
      </c>
      <c r="AP128" s="24">
        <f>G128*(1-0.081251877)</f>
        <v>0</v>
      </c>
      <c r="AQ128" s="26" t="s">
        <v>54</v>
      </c>
      <c r="AV128" s="24">
        <f>AW128+AX128</f>
        <v>0</v>
      </c>
      <c r="AW128" s="24">
        <f>F128*AO128</f>
        <v>0</v>
      </c>
      <c r="AX128" s="24">
        <f>F128*AP128</f>
        <v>0</v>
      </c>
      <c r="AY128" s="26" t="s">
        <v>208</v>
      </c>
      <c r="AZ128" s="26" t="s">
        <v>209</v>
      </c>
      <c r="BA128" s="10" t="s">
        <v>59</v>
      </c>
      <c r="BC128" s="24">
        <f>AW128+AX128</f>
        <v>0</v>
      </c>
      <c r="BD128" s="24">
        <f>G128/(100-BE128)*100</f>
        <v>0</v>
      </c>
      <c r="BE128" s="24">
        <v>0</v>
      </c>
      <c r="BF128" s="24">
        <f>128</f>
        <v>128</v>
      </c>
      <c r="BH128" s="24">
        <f>F128*AO128</f>
        <v>0</v>
      </c>
      <c r="BI128" s="24">
        <f>F128*AP128</f>
        <v>0</v>
      </c>
      <c r="BJ128" s="24">
        <f>F128*G128</f>
        <v>0</v>
      </c>
      <c r="BK128" s="24"/>
      <c r="BL128" s="24">
        <v>96</v>
      </c>
      <c r="BW128" s="24">
        <v>21</v>
      </c>
      <c r="BX128" s="4" t="s">
        <v>272</v>
      </c>
    </row>
    <row r="129" spans="1:76">
      <c r="A129" s="27"/>
      <c r="C129" s="28" t="s">
        <v>273</v>
      </c>
      <c r="D129" s="28" t="s">
        <v>51</v>
      </c>
      <c r="F129" s="29">
        <v>2.8565</v>
      </c>
      <c r="K129" s="30"/>
    </row>
    <row r="130" spans="1:76">
      <c r="A130" s="2" t="s">
        <v>274</v>
      </c>
      <c r="B130" s="3" t="s">
        <v>275</v>
      </c>
      <c r="C130" s="73" t="s">
        <v>276</v>
      </c>
      <c r="D130" s="68"/>
      <c r="E130" s="3" t="s">
        <v>277</v>
      </c>
      <c r="F130" s="24">
        <v>0.24679999999999999</v>
      </c>
      <c r="G130" s="24">
        <v>0</v>
      </c>
      <c r="H130" s="24">
        <f>F130*AO130</f>
        <v>0</v>
      </c>
      <c r="I130" s="24">
        <f>F130*AP130</f>
        <v>0</v>
      </c>
      <c r="J130" s="24">
        <f>F130*G130</f>
        <v>0</v>
      </c>
      <c r="K130" s="25" t="s">
        <v>67</v>
      </c>
      <c r="Z130" s="24">
        <f>IF(AQ130="5",BJ130,0)</f>
        <v>0</v>
      </c>
      <c r="AB130" s="24">
        <f>IF(AQ130="1",BH130,0)</f>
        <v>0</v>
      </c>
      <c r="AC130" s="24">
        <f>IF(AQ130="1",BI130,0)</f>
        <v>0</v>
      </c>
      <c r="AD130" s="24">
        <f>IF(AQ130="7",BH130,0)</f>
        <v>0</v>
      </c>
      <c r="AE130" s="24">
        <f>IF(AQ130="7",BI130,0)</f>
        <v>0</v>
      </c>
      <c r="AF130" s="24">
        <f>IF(AQ130="2",BH130,0)</f>
        <v>0</v>
      </c>
      <c r="AG130" s="24">
        <f>IF(AQ130="2",BI130,0)</f>
        <v>0</v>
      </c>
      <c r="AH130" s="24">
        <f>IF(AQ130="0",BJ130,0)</f>
        <v>0</v>
      </c>
      <c r="AI130" s="10" t="s">
        <v>51</v>
      </c>
      <c r="AJ130" s="24">
        <f>IF(AN130=0,J130,0)</f>
        <v>0</v>
      </c>
      <c r="AK130" s="24">
        <f>IF(AN130=12,J130,0)</f>
        <v>0</v>
      </c>
      <c r="AL130" s="24">
        <f>IF(AN130=21,J130,0)</f>
        <v>0</v>
      </c>
      <c r="AN130" s="24">
        <v>21</v>
      </c>
      <c r="AO130" s="24">
        <f>G130*0.115790018</f>
        <v>0</v>
      </c>
      <c r="AP130" s="24">
        <f>G130*(1-0.115790018)</f>
        <v>0</v>
      </c>
      <c r="AQ130" s="26" t="s">
        <v>54</v>
      </c>
      <c r="AV130" s="24">
        <f>AW130+AX130</f>
        <v>0</v>
      </c>
      <c r="AW130" s="24">
        <f>F130*AO130</f>
        <v>0</v>
      </c>
      <c r="AX130" s="24">
        <f>F130*AP130</f>
        <v>0</v>
      </c>
      <c r="AY130" s="26" t="s">
        <v>208</v>
      </c>
      <c r="AZ130" s="26" t="s">
        <v>209</v>
      </c>
      <c r="BA130" s="10" t="s">
        <v>59</v>
      </c>
      <c r="BC130" s="24">
        <f>AW130+AX130</f>
        <v>0</v>
      </c>
      <c r="BD130" s="24">
        <f>G130/(100-BE130)*100</f>
        <v>0</v>
      </c>
      <c r="BE130" s="24">
        <v>0</v>
      </c>
      <c r="BF130" s="24">
        <f>130</f>
        <v>130</v>
      </c>
      <c r="BH130" s="24">
        <f>F130*AO130</f>
        <v>0</v>
      </c>
      <c r="BI130" s="24">
        <f>F130*AP130</f>
        <v>0</v>
      </c>
      <c r="BJ130" s="24">
        <f>F130*G130</f>
        <v>0</v>
      </c>
      <c r="BK130" s="24"/>
      <c r="BL130" s="24">
        <v>96</v>
      </c>
      <c r="BW130" s="24">
        <v>21</v>
      </c>
      <c r="BX130" s="4" t="s">
        <v>276</v>
      </c>
    </row>
    <row r="131" spans="1:76">
      <c r="A131" s="27"/>
      <c r="C131" s="28" t="s">
        <v>278</v>
      </c>
      <c r="D131" s="28" t="s">
        <v>51</v>
      </c>
      <c r="F131" s="29">
        <v>0.1052</v>
      </c>
      <c r="K131" s="30"/>
    </row>
    <row r="132" spans="1:76">
      <c r="A132" s="27"/>
      <c r="C132" s="28" t="s">
        <v>279</v>
      </c>
      <c r="D132" s="28" t="s">
        <v>51</v>
      </c>
      <c r="F132" s="29">
        <v>0.1416</v>
      </c>
      <c r="K132" s="30"/>
    </row>
    <row r="133" spans="1:76">
      <c r="A133" s="2" t="s">
        <v>280</v>
      </c>
      <c r="B133" s="3" t="s">
        <v>281</v>
      </c>
      <c r="C133" s="73" t="s">
        <v>282</v>
      </c>
      <c r="D133" s="68"/>
      <c r="E133" s="3" t="s">
        <v>78</v>
      </c>
      <c r="F133" s="24">
        <v>119.15823</v>
      </c>
      <c r="G133" s="24">
        <v>0</v>
      </c>
      <c r="H133" s="24">
        <f>F133*AO133</f>
        <v>0</v>
      </c>
      <c r="I133" s="24">
        <f>F133*AP133</f>
        <v>0</v>
      </c>
      <c r="J133" s="24">
        <f>F133*G133</f>
        <v>0</v>
      </c>
      <c r="K133" s="25" t="s">
        <v>67</v>
      </c>
      <c r="Z133" s="24">
        <f>IF(AQ133="5",BJ133,0)</f>
        <v>0</v>
      </c>
      <c r="AB133" s="24">
        <f>IF(AQ133="1",BH133,0)</f>
        <v>0</v>
      </c>
      <c r="AC133" s="24">
        <f>IF(AQ133="1",BI133,0)</f>
        <v>0</v>
      </c>
      <c r="AD133" s="24">
        <f>IF(AQ133="7",BH133,0)</f>
        <v>0</v>
      </c>
      <c r="AE133" s="24">
        <f>IF(AQ133="7",BI133,0)</f>
        <v>0</v>
      </c>
      <c r="AF133" s="24">
        <f>IF(AQ133="2",BH133,0)</f>
        <v>0</v>
      </c>
      <c r="AG133" s="24">
        <f>IF(AQ133="2",BI133,0)</f>
        <v>0</v>
      </c>
      <c r="AH133" s="24">
        <f>IF(AQ133="0",BJ133,0)</f>
        <v>0</v>
      </c>
      <c r="AI133" s="10" t="s">
        <v>51</v>
      </c>
      <c r="AJ133" s="24">
        <f>IF(AN133=0,J133,0)</f>
        <v>0</v>
      </c>
      <c r="AK133" s="24">
        <f>IF(AN133=12,J133,0)</f>
        <v>0</v>
      </c>
      <c r="AL133" s="24">
        <f>IF(AN133=21,J133,0)</f>
        <v>0</v>
      </c>
      <c r="AN133" s="24">
        <v>21</v>
      </c>
      <c r="AO133" s="24">
        <f>G133*0.133082204</f>
        <v>0</v>
      </c>
      <c r="AP133" s="24">
        <f>G133*(1-0.133082204)</f>
        <v>0</v>
      </c>
      <c r="AQ133" s="26" t="s">
        <v>54</v>
      </c>
      <c r="AV133" s="24">
        <f>AW133+AX133</f>
        <v>0</v>
      </c>
      <c r="AW133" s="24">
        <f>F133*AO133</f>
        <v>0</v>
      </c>
      <c r="AX133" s="24">
        <f>F133*AP133</f>
        <v>0</v>
      </c>
      <c r="AY133" s="26" t="s">
        <v>208</v>
      </c>
      <c r="AZ133" s="26" t="s">
        <v>209</v>
      </c>
      <c r="BA133" s="10" t="s">
        <v>59</v>
      </c>
      <c r="BC133" s="24">
        <f>AW133+AX133</f>
        <v>0</v>
      </c>
      <c r="BD133" s="24">
        <f>G133/(100-BE133)*100</f>
        <v>0</v>
      </c>
      <c r="BE133" s="24">
        <v>0</v>
      </c>
      <c r="BF133" s="24">
        <f>133</f>
        <v>133</v>
      </c>
      <c r="BH133" s="24">
        <f>F133*AO133</f>
        <v>0</v>
      </c>
      <c r="BI133" s="24">
        <f>F133*AP133</f>
        <v>0</v>
      </c>
      <c r="BJ133" s="24">
        <f>F133*G133</f>
        <v>0</v>
      </c>
      <c r="BK133" s="24"/>
      <c r="BL133" s="24">
        <v>96</v>
      </c>
      <c r="BW133" s="24">
        <v>21</v>
      </c>
      <c r="BX133" s="4" t="s">
        <v>282</v>
      </c>
    </row>
    <row r="134" spans="1:76">
      <c r="A134" s="27"/>
      <c r="C134" s="28" t="s">
        <v>283</v>
      </c>
      <c r="D134" s="28" t="s">
        <v>51</v>
      </c>
      <c r="F134" s="29">
        <v>5.6</v>
      </c>
      <c r="K134" s="30"/>
    </row>
    <row r="135" spans="1:76">
      <c r="A135" s="27"/>
      <c r="C135" s="28" t="s">
        <v>284</v>
      </c>
      <c r="D135" s="28" t="s">
        <v>51</v>
      </c>
      <c r="F135" s="29">
        <v>53.82</v>
      </c>
      <c r="K135" s="30"/>
    </row>
    <row r="136" spans="1:76">
      <c r="A136" s="27"/>
      <c r="C136" s="28" t="s">
        <v>285</v>
      </c>
      <c r="D136" s="28" t="s">
        <v>51</v>
      </c>
      <c r="F136" s="29">
        <v>1.8274999999999999</v>
      </c>
      <c r="K136" s="30"/>
    </row>
    <row r="137" spans="1:76">
      <c r="A137" s="27"/>
      <c r="C137" s="28" t="s">
        <v>286</v>
      </c>
      <c r="D137" s="28" t="s">
        <v>51</v>
      </c>
      <c r="F137" s="29">
        <v>12.816750000000001</v>
      </c>
      <c r="K137" s="30"/>
    </row>
    <row r="138" spans="1:76">
      <c r="A138" s="27"/>
      <c r="C138" s="28" t="s">
        <v>287</v>
      </c>
      <c r="D138" s="28" t="s">
        <v>51</v>
      </c>
      <c r="F138" s="29">
        <v>8.0589999999999993</v>
      </c>
      <c r="K138" s="30"/>
    </row>
    <row r="139" spans="1:76">
      <c r="A139" s="27"/>
      <c r="C139" s="28" t="s">
        <v>288</v>
      </c>
      <c r="D139" s="28" t="s">
        <v>51</v>
      </c>
      <c r="F139" s="29">
        <v>7.58575</v>
      </c>
      <c r="K139" s="30"/>
    </row>
    <row r="140" spans="1:76">
      <c r="A140" s="27"/>
      <c r="C140" s="28" t="s">
        <v>289</v>
      </c>
      <c r="D140" s="28" t="s">
        <v>51</v>
      </c>
      <c r="F140" s="29">
        <v>22.131229999999999</v>
      </c>
      <c r="K140" s="30"/>
    </row>
    <row r="141" spans="1:76">
      <c r="A141" s="27"/>
      <c r="C141" s="28" t="s">
        <v>290</v>
      </c>
      <c r="D141" s="28" t="s">
        <v>51</v>
      </c>
      <c r="F141" s="29">
        <v>7.3179999999999996</v>
      </c>
      <c r="K141" s="30"/>
    </row>
    <row r="142" spans="1:76">
      <c r="A142" s="2" t="s">
        <v>291</v>
      </c>
      <c r="B142" s="3" t="s">
        <v>292</v>
      </c>
      <c r="C142" s="73" t="s">
        <v>293</v>
      </c>
      <c r="D142" s="68"/>
      <c r="E142" s="3" t="s">
        <v>78</v>
      </c>
      <c r="F142" s="24">
        <v>34.28</v>
      </c>
      <c r="G142" s="24">
        <v>0</v>
      </c>
      <c r="H142" s="24">
        <f>F142*AO142</f>
        <v>0</v>
      </c>
      <c r="I142" s="24">
        <f>F142*AP142</f>
        <v>0</v>
      </c>
      <c r="J142" s="24">
        <f>F142*G142</f>
        <v>0</v>
      </c>
      <c r="K142" s="25" t="s">
        <v>67</v>
      </c>
      <c r="Z142" s="24">
        <f>IF(AQ142="5",BJ142,0)</f>
        <v>0</v>
      </c>
      <c r="AB142" s="24">
        <f>IF(AQ142="1",BH142,0)</f>
        <v>0</v>
      </c>
      <c r="AC142" s="24">
        <f>IF(AQ142="1",BI142,0)</f>
        <v>0</v>
      </c>
      <c r="AD142" s="24">
        <f>IF(AQ142="7",BH142,0)</f>
        <v>0</v>
      </c>
      <c r="AE142" s="24">
        <f>IF(AQ142="7",BI142,0)</f>
        <v>0</v>
      </c>
      <c r="AF142" s="24">
        <f>IF(AQ142="2",BH142,0)</f>
        <v>0</v>
      </c>
      <c r="AG142" s="24">
        <f>IF(AQ142="2",BI142,0)</f>
        <v>0</v>
      </c>
      <c r="AH142" s="24">
        <f>IF(AQ142="0",BJ142,0)</f>
        <v>0</v>
      </c>
      <c r="AI142" s="10" t="s">
        <v>51</v>
      </c>
      <c r="AJ142" s="24">
        <f>IF(AN142=0,J142,0)</f>
        <v>0</v>
      </c>
      <c r="AK142" s="24">
        <f>IF(AN142=12,J142,0)</f>
        <v>0</v>
      </c>
      <c r="AL142" s="24">
        <f>IF(AN142=21,J142,0)</f>
        <v>0</v>
      </c>
      <c r="AN142" s="24">
        <v>21</v>
      </c>
      <c r="AO142" s="24">
        <f>G142*0.099127637</f>
        <v>0</v>
      </c>
      <c r="AP142" s="24">
        <f>G142*(1-0.099127637)</f>
        <v>0</v>
      </c>
      <c r="AQ142" s="26" t="s">
        <v>54</v>
      </c>
      <c r="AV142" s="24">
        <f>AW142+AX142</f>
        <v>0</v>
      </c>
      <c r="AW142" s="24">
        <f>F142*AO142</f>
        <v>0</v>
      </c>
      <c r="AX142" s="24">
        <f>F142*AP142</f>
        <v>0</v>
      </c>
      <c r="AY142" s="26" t="s">
        <v>208</v>
      </c>
      <c r="AZ142" s="26" t="s">
        <v>209</v>
      </c>
      <c r="BA142" s="10" t="s">
        <v>59</v>
      </c>
      <c r="BC142" s="24">
        <f>AW142+AX142</f>
        <v>0</v>
      </c>
      <c r="BD142" s="24">
        <f>G142/(100-BE142)*100</f>
        <v>0</v>
      </c>
      <c r="BE142" s="24">
        <v>0</v>
      </c>
      <c r="BF142" s="24">
        <f>142</f>
        <v>142</v>
      </c>
      <c r="BH142" s="24">
        <f>F142*AO142</f>
        <v>0</v>
      </c>
      <c r="BI142" s="24">
        <f>F142*AP142</f>
        <v>0</v>
      </c>
      <c r="BJ142" s="24">
        <f>F142*G142</f>
        <v>0</v>
      </c>
      <c r="BK142" s="24"/>
      <c r="BL142" s="24">
        <v>96</v>
      </c>
      <c r="BW142" s="24">
        <v>21</v>
      </c>
      <c r="BX142" s="4" t="s">
        <v>293</v>
      </c>
    </row>
    <row r="143" spans="1:76">
      <c r="A143" s="27"/>
      <c r="C143" s="28" t="s">
        <v>294</v>
      </c>
      <c r="D143" s="28" t="s">
        <v>51</v>
      </c>
      <c r="F143" s="29">
        <v>34.28</v>
      </c>
      <c r="K143" s="30"/>
    </row>
    <row r="144" spans="1:76">
      <c r="A144" s="2" t="s">
        <v>295</v>
      </c>
      <c r="B144" s="3" t="s">
        <v>296</v>
      </c>
      <c r="C144" s="73" t="s">
        <v>297</v>
      </c>
      <c r="D144" s="68"/>
      <c r="E144" s="3" t="s">
        <v>78</v>
      </c>
      <c r="F144" s="24">
        <v>16.5</v>
      </c>
      <c r="G144" s="24">
        <v>0</v>
      </c>
      <c r="H144" s="24">
        <f>F144*AO144</f>
        <v>0</v>
      </c>
      <c r="I144" s="24">
        <f>F144*AP144</f>
        <v>0</v>
      </c>
      <c r="J144" s="24">
        <f>F144*G144</f>
        <v>0</v>
      </c>
      <c r="K144" s="25" t="s">
        <v>67</v>
      </c>
      <c r="Z144" s="24">
        <f>IF(AQ144="5",BJ144,0)</f>
        <v>0</v>
      </c>
      <c r="AB144" s="24">
        <f>IF(AQ144="1",BH144,0)</f>
        <v>0</v>
      </c>
      <c r="AC144" s="24">
        <f>IF(AQ144="1",BI144,0)</f>
        <v>0</v>
      </c>
      <c r="AD144" s="24">
        <f>IF(AQ144="7",BH144,0)</f>
        <v>0</v>
      </c>
      <c r="AE144" s="24">
        <f>IF(AQ144="7",BI144,0)</f>
        <v>0</v>
      </c>
      <c r="AF144" s="24">
        <f>IF(AQ144="2",BH144,0)</f>
        <v>0</v>
      </c>
      <c r="AG144" s="24">
        <f>IF(AQ144="2",BI144,0)</f>
        <v>0</v>
      </c>
      <c r="AH144" s="24">
        <f>IF(AQ144="0",BJ144,0)</f>
        <v>0</v>
      </c>
      <c r="AI144" s="10" t="s">
        <v>51</v>
      </c>
      <c r="AJ144" s="24">
        <f>IF(AN144=0,J144,0)</f>
        <v>0</v>
      </c>
      <c r="AK144" s="24">
        <f>IF(AN144=12,J144,0)</f>
        <v>0</v>
      </c>
      <c r="AL144" s="24">
        <f>IF(AN144=21,J144,0)</f>
        <v>0</v>
      </c>
      <c r="AN144" s="24">
        <v>21</v>
      </c>
      <c r="AO144" s="24">
        <f>G144*0</f>
        <v>0</v>
      </c>
      <c r="AP144" s="24">
        <f>G144*(1-0)</f>
        <v>0</v>
      </c>
      <c r="AQ144" s="26" t="s">
        <v>54</v>
      </c>
      <c r="AV144" s="24">
        <f>AW144+AX144</f>
        <v>0</v>
      </c>
      <c r="AW144" s="24">
        <f>F144*AO144</f>
        <v>0</v>
      </c>
      <c r="AX144" s="24">
        <f>F144*AP144</f>
        <v>0</v>
      </c>
      <c r="AY144" s="26" t="s">
        <v>208</v>
      </c>
      <c r="AZ144" s="26" t="s">
        <v>209</v>
      </c>
      <c r="BA144" s="10" t="s">
        <v>59</v>
      </c>
      <c r="BC144" s="24">
        <f>AW144+AX144</f>
        <v>0</v>
      </c>
      <c r="BD144" s="24">
        <f>G144/(100-BE144)*100</f>
        <v>0</v>
      </c>
      <c r="BE144" s="24">
        <v>0</v>
      </c>
      <c r="BF144" s="24">
        <f>144</f>
        <v>144</v>
      </c>
      <c r="BH144" s="24">
        <f>F144*AO144</f>
        <v>0</v>
      </c>
      <c r="BI144" s="24">
        <f>F144*AP144</f>
        <v>0</v>
      </c>
      <c r="BJ144" s="24">
        <f>F144*G144</f>
        <v>0</v>
      </c>
      <c r="BK144" s="24"/>
      <c r="BL144" s="24">
        <v>96</v>
      </c>
      <c r="BW144" s="24">
        <v>21</v>
      </c>
      <c r="BX144" s="4" t="s">
        <v>297</v>
      </c>
    </row>
    <row r="145" spans="1:76">
      <c r="A145" s="27"/>
      <c r="C145" s="28" t="s">
        <v>298</v>
      </c>
      <c r="D145" s="28" t="s">
        <v>51</v>
      </c>
      <c r="F145" s="29">
        <v>16.5</v>
      </c>
      <c r="K145" s="30"/>
    </row>
    <row r="146" spans="1:76">
      <c r="A146" s="2" t="s">
        <v>299</v>
      </c>
      <c r="B146" s="3" t="s">
        <v>300</v>
      </c>
      <c r="C146" s="73" t="s">
        <v>301</v>
      </c>
      <c r="D146" s="68"/>
      <c r="E146" s="3" t="s">
        <v>66</v>
      </c>
      <c r="F146" s="24">
        <v>4.1550000000000002</v>
      </c>
      <c r="G146" s="24">
        <v>0</v>
      </c>
      <c r="H146" s="24">
        <f>F146*AO146</f>
        <v>0</v>
      </c>
      <c r="I146" s="24">
        <f>F146*AP146</f>
        <v>0</v>
      </c>
      <c r="J146" s="24">
        <f>F146*G146</f>
        <v>0</v>
      </c>
      <c r="K146" s="25" t="s">
        <v>67</v>
      </c>
      <c r="Z146" s="24">
        <f>IF(AQ146="5",BJ146,0)</f>
        <v>0</v>
      </c>
      <c r="AB146" s="24">
        <f>IF(AQ146="1",BH146,0)</f>
        <v>0</v>
      </c>
      <c r="AC146" s="24">
        <f>IF(AQ146="1",BI146,0)</f>
        <v>0</v>
      </c>
      <c r="AD146" s="24">
        <f>IF(AQ146="7",BH146,0)</f>
        <v>0</v>
      </c>
      <c r="AE146" s="24">
        <f>IF(AQ146="7",BI146,0)</f>
        <v>0</v>
      </c>
      <c r="AF146" s="24">
        <f>IF(AQ146="2",BH146,0)</f>
        <v>0</v>
      </c>
      <c r="AG146" s="24">
        <f>IF(AQ146="2",BI146,0)</f>
        <v>0</v>
      </c>
      <c r="AH146" s="24">
        <f>IF(AQ146="0",BJ146,0)</f>
        <v>0</v>
      </c>
      <c r="AI146" s="10" t="s">
        <v>51</v>
      </c>
      <c r="AJ146" s="24">
        <f>IF(AN146=0,J146,0)</f>
        <v>0</v>
      </c>
      <c r="AK146" s="24">
        <f>IF(AN146=12,J146,0)</f>
        <v>0</v>
      </c>
      <c r="AL146" s="24">
        <f>IF(AN146=21,J146,0)</f>
        <v>0</v>
      </c>
      <c r="AN146" s="24">
        <v>21</v>
      </c>
      <c r="AO146" s="24">
        <f>G146*0.034919193</f>
        <v>0</v>
      </c>
      <c r="AP146" s="24">
        <f>G146*(1-0.034919193)</f>
        <v>0</v>
      </c>
      <c r="AQ146" s="26" t="s">
        <v>54</v>
      </c>
      <c r="AV146" s="24">
        <f>AW146+AX146</f>
        <v>0</v>
      </c>
      <c r="AW146" s="24">
        <f>F146*AO146</f>
        <v>0</v>
      </c>
      <c r="AX146" s="24">
        <f>F146*AP146</f>
        <v>0</v>
      </c>
      <c r="AY146" s="26" t="s">
        <v>208</v>
      </c>
      <c r="AZ146" s="26" t="s">
        <v>209</v>
      </c>
      <c r="BA146" s="10" t="s">
        <v>59</v>
      </c>
      <c r="BC146" s="24">
        <f>AW146+AX146</f>
        <v>0</v>
      </c>
      <c r="BD146" s="24">
        <f>G146/(100-BE146)*100</f>
        <v>0</v>
      </c>
      <c r="BE146" s="24">
        <v>0</v>
      </c>
      <c r="BF146" s="24">
        <f>146</f>
        <v>146</v>
      </c>
      <c r="BH146" s="24">
        <f>F146*AO146</f>
        <v>0</v>
      </c>
      <c r="BI146" s="24">
        <f>F146*AP146</f>
        <v>0</v>
      </c>
      <c r="BJ146" s="24">
        <f>F146*G146</f>
        <v>0</v>
      </c>
      <c r="BK146" s="24"/>
      <c r="BL146" s="24">
        <v>96</v>
      </c>
      <c r="BW146" s="24">
        <v>21</v>
      </c>
      <c r="BX146" s="4" t="s">
        <v>301</v>
      </c>
    </row>
    <row r="147" spans="1:76">
      <c r="A147" s="27"/>
      <c r="C147" s="28" t="s">
        <v>302</v>
      </c>
      <c r="D147" s="28" t="s">
        <v>51</v>
      </c>
      <c r="F147" s="29">
        <v>4.1550000000000002</v>
      </c>
      <c r="K147" s="30"/>
    </row>
    <row r="148" spans="1:76">
      <c r="A148" s="2" t="s">
        <v>303</v>
      </c>
      <c r="B148" s="3" t="s">
        <v>304</v>
      </c>
      <c r="C148" s="73" t="s">
        <v>305</v>
      </c>
      <c r="D148" s="68"/>
      <c r="E148" s="3" t="s">
        <v>66</v>
      </c>
      <c r="F148" s="24">
        <v>4.3499999999999996</v>
      </c>
      <c r="G148" s="24">
        <v>0</v>
      </c>
      <c r="H148" s="24">
        <f>F148*AO148</f>
        <v>0</v>
      </c>
      <c r="I148" s="24">
        <f>F148*AP148</f>
        <v>0</v>
      </c>
      <c r="J148" s="24">
        <f>F148*G148</f>
        <v>0</v>
      </c>
      <c r="K148" s="25" t="s">
        <v>67</v>
      </c>
      <c r="Z148" s="24">
        <f>IF(AQ148="5",BJ148,0)</f>
        <v>0</v>
      </c>
      <c r="AB148" s="24">
        <f>IF(AQ148="1",BH148,0)</f>
        <v>0</v>
      </c>
      <c r="AC148" s="24">
        <f>IF(AQ148="1",BI148,0)</f>
        <v>0</v>
      </c>
      <c r="AD148" s="24">
        <f>IF(AQ148="7",BH148,0)</f>
        <v>0</v>
      </c>
      <c r="AE148" s="24">
        <f>IF(AQ148="7",BI148,0)</f>
        <v>0</v>
      </c>
      <c r="AF148" s="24">
        <f>IF(AQ148="2",BH148,0)</f>
        <v>0</v>
      </c>
      <c r="AG148" s="24">
        <f>IF(AQ148="2",BI148,0)</f>
        <v>0</v>
      </c>
      <c r="AH148" s="24">
        <f>IF(AQ148="0",BJ148,0)</f>
        <v>0</v>
      </c>
      <c r="AI148" s="10" t="s">
        <v>51</v>
      </c>
      <c r="AJ148" s="24">
        <f>IF(AN148=0,J148,0)</f>
        <v>0</v>
      </c>
      <c r="AK148" s="24">
        <f>IF(AN148=12,J148,0)</f>
        <v>0</v>
      </c>
      <c r="AL148" s="24">
        <f>IF(AN148=21,J148,0)</f>
        <v>0</v>
      </c>
      <c r="AN148" s="24">
        <v>21</v>
      </c>
      <c r="AO148" s="24">
        <f>G148*0</f>
        <v>0</v>
      </c>
      <c r="AP148" s="24">
        <f>G148*(1-0)</f>
        <v>0</v>
      </c>
      <c r="AQ148" s="26" t="s">
        <v>54</v>
      </c>
      <c r="AV148" s="24">
        <f>AW148+AX148</f>
        <v>0</v>
      </c>
      <c r="AW148" s="24">
        <f>F148*AO148</f>
        <v>0</v>
      </c>
      <c r="AX148" s="24">
        <f>F148*AP148</f>
        <v>0</v>
      </c>
      <c r="AY148" s="26" t="s">
        <v>208</v>
      </c>
      <c r="AZ148" s="26" t="s">
        <v>209</v>
      </c>
      <c r="BA148" s="10" t="s">
        <v>59</v>
      </c>
      <c r="BC148" s="24">
        <f>AW148+AX148</f>
        <v>0</v>
      </c>
      <c r="BD148" s="24">
        <f>G148/(100-BE148)*100</f>
        <v>0</v>
      </c>
      <c r="BE148" s="24">
        <v>0</v>
      </c>
      <c r="BF148" s="24">
        <f>148</f>
        <v>148</v>
      </c>
      <c r="BH148" s="24">
        <f>F148*AO148</f>
        <v>0</v>
      </c>
      <c r="BI148" s="24">
        <f>F148*AP148</f>
        <v>0</v>
      </c>
      <c r="BJ148" s="24">
        <f>F148*G148</f>
        <v>0</v>
      </c>
      <c r="BK148" s="24"/>
      <c r="BL148" s="24">
        <v>96</v>
      </c>
      <c r="BW148" s="24">
        <v>21</v>
      </c>
      <c r="BX148" s="4" t="s">
        <v>305</v>
      </c>
    </row>
    <row r="149" spans="1:76">
      <c r="A149" s="27"/>
      <c r="C149" s="28" t="s">
        <v>306</v>
      </c>
      <c r="D149" s="28" t="s">
        <v>51</v>
      </c>
      <c r="F149" s="29">
        <v>4.3499999999999996</v>
      </c>
      <c r="K149" s="30"/>
    </row>
    <row r="150" spans="1:76">
      <c r="A150" s="2" t="s">
        <v>307</v>
      </c>
      <c r="B150" s="3" t="s">
        <v>308</v>
      </c>
      <c r="C150" s="73" t="s">
        <v>309</v>
      </c>
      <c r="D150" s="68"/>
      <c r="E150" s="3" t="s">
        <v>66</v>
      </c>
      <c r="F150" s="24">
        <v>27.704999999999998</v>
      </c>
      <c r="G150" s="24">
        <v>0</v>
      </c>
      <c r="H150" s="24">
        <f>F150*AO150</f>
        <v>0</v>
      </c>
      <c r="I150" s="24">
        <f>F150*AP150</f>
        <v>0</v>
      </c>
      <c r="J150" s="24">
        <f>F150*G150</f>
        <v>0</v>
      </c>
      <c r="K150" s="25" t="s">
        <v>67</v>
      </c>
      <c r="Z150" s="24">
        <f>IF(AQ150="5",BJ150,0)</f>
        <v>0</v>
      </c>
      <c r="AB150" s="24">
        <f>IF(AQ150="1",BH150,0)</f>
        <v>0</v>
      </c>
      <c r="AC150" s="24">
        <f>IF(AQ150="1",BI150,0)</f>
        <v>0</v>
      </c>
      <c r="AD150" s="24">
        <f>IF(AQ150="7",BH150,0)</f>
        <v>0</v>
      </c>
      <c r="AE150" s="24">
        <f>IF(AQ150="7",BI150,0)</f>
        <v>0</v>
      </c>
      <c r="AF150" s="24">
        <f>IF(AQ150="2",BH150,0)</f>
        <v>0</v>
      </c>
      <c r="AG150" s="24">
        <f>IF(AQ150="2",BI150,0)</f>
        <v>0</v>
      </c>
      <c r="AH150" s="24">
        <f>IF(AQ150="0",BJ150,0)</f>
        <v>0</v>
      </c>
      <c r="AI150" s="10" t="s">
        <v>51</v>
      </c>
      <c r="AJ150" s="24">
        <f>IF(AN150=0,J150,0)</f>
        <v>0</v>
      </c>
      <c r="AK150" s="24">
        <f>IF(AN150=12,J150,0)</f>
        <v>0</v>
      </c>
      <c r="AL150" s="24">
        <f>IF(AN150=21,J150,0)</f>
        <v>0</v>
      </c>
      <c r="AN150" s="24">
        <v>21</v>
      </c>
      <c r="AO150" s="24">
        <f>G150*0.01823178</f>
        <v>0</v>
      </c>
      <c r="AP150" s="24">
        <f>G150*(1-0.01823178)</f>
        <v>0</v>
      </c>
      <c r="AQ150" s="26" t="s">
        <v>54</v>
      </c>
      <c r="AV150" s="24">
        <f>AW150+AX150</f>
        <v>0</v>
      </c>
      <c r="AW150" s="24">
        <f>F150*AO150</f>
        <v>0</v>
      </c>
      <c r="AX150" s="24">
        <f>F150*AP150</f>
        <v>0</v>
      </c>
      <c r="AY150" s="26" t="s">
        <v>208</v>
      </c>
      <c r="AZ150" s="26" t="s">
        <v>209</v>
      </c>
      <c r="BA150" s="10" t="s">
        <v>59</v>
      </c>
      <c r="BC150" s="24">
        <f>AW150+AX150</f>
        <v>0</v>
      </c>
      <c r="BD150" s="24">
        <f>G150/(100-BE150)*100</f>
        <v>0</v>
      </c>
      <c r="BE150" s="24">
        <v>0</v>
      </c>
      <c r="BF150" s="24">
        <f>150</f>
        <v>150</v>
      </c>
      <c r="BH150" s="24">
        <f>F150*AO150</f>
        <v>0</v>
      </c>
      <c r="BI150" s="24">
        <f>F150*AP150</f>
        <v>0</v>
      </c>
      <c r="BJ150" s="24">
        <f>F150*G150</f>
        <v>0</v>
      </c>
      <c r="BK150" s="24"/>
      <c r="BL150" s="24">
        <v>96</v>
      </c>
      <c r="BW150" s="24">
        <v>21</v>
      </c>
      <c r="BX150" s="4" t="s">
        <v>309</v>
      </c>
    </row>
    <row r="151" spans="1:76">
      <c r="A151" s="27"/>
      <c r="C151" s="28" t="s">
        <v>310</v>
      </c>
      <c r="D151" s="28" t="s">
        <v>51</v>
      </c>
      <c r="F151" s="29">
        <v>1.1617500000000001</v>
      </c>
      <c r="K151" s="30"/>
    </row>
    <row r="152" spans="1:76">
      <c r="A152" s="27"/>
      <c r="C152" s="28" t="s">
        <v>311</v>
      </c>
      <c r="D152" s="28" t="s">
        <v>51</v>
      </c>
      <c r="F152" s="29">
        <v>17.695499999999999</v>
      </c>
      <c r="K152" s="30"/>
    </row>
    <row r="153" spans="1:76">
      <c r="A153" s="27"/>
      <c r="C153" s="28" t="s">
        <v>312</v>
      </c>
      <c r="D153" s="28" t="s">
        <v>51</v>
      </c>
      <c r="F153" s="29">
        <v>8.8477499999999996</v>
      </c>
      <c r="K153" s="30"/>
    </row>
    <row r="154" spans="1:76">
      <c r="A154" s="2" t="s">
        <v>313</v>
      </c>
      <c r="B154" s="3" t="s">
        <v>314</v>
      </c>
      <c r="C154" s="73" t="s">
        <v>315</v>
      </c>
      <c r="D154" s="68"/>
      <c r="E154" s="3" t="s">
        <v>66</v>
      </c>
      <c r="F154" s="24">
        <v>401.94815999999997</v>
      </c>
      <c r="G154" s="24">
        <v>0</v>
      </c>
      <c r="H154" s="24">
        <f>F154*AO154</f>
        <v>0</v>
      </c>
      <c r="I154" s="24">
        <f>F154*AP154</f>
        <v>0</v>
      </c>
      <c r="J154" s="24">
        <f>F154*G154</f>
        <v>0</v>
      </c>
      <c r="K154" s="25" t="s">
        <v>67</v>
      </c>
      <c r="Z154" s="24">
        <f>IF(AQ154="5",BJ154,0)</f>
        <v>0</v>
      </c>
      <c r="AB154" s="24">
        <f>IF(AQ154="1",BH154,0)</f>
        <v>0</v>
      </c>
      <c r="AC154" s="24">
        <f>IF(AQ154="1",BI154,0)</f>
        <v>0</v>
      </c>
      <c r="AD154" s="24">
        <f>IF(AQ154="7",BH154,0)</f>
        <v>0</v>
      </c>
      <c r="AE154" s="24">
        <f>IF(AQ154="7",BI154,0)</f>
        <v>0</v>
      </c>
      <c r="AF154" s="24">
        <f>IF(AQ154="2",BH154,0)</f>
        <v>0</v>
      </c>
      <c r="AG154" s="24">
        <f>IF(AQ154="2",BI154,0)</f>
        <v>0</v>
      </c>
      <c r="AH154" s="24">
        <f>IF(AQ154="0",BJ154,0)</f>
        <v>0</v>
      </c>
      <c r="AI154" s="10" t="s">
        <v>51</v>
      </c>
      <c r="AJ154" s="24">
        <f>IF(AN154=0,J154,0)</f>
        <v>0</v>
      </c>
      <c r="AK154" s="24">
        <f>IF(AN154=12,J154,0)</f>
        <v>0</v>
      </c>
      <c r="AL154" s="24">
        <f>IF(AN154=21,J154,0)</f>
        <v>0</v>
      </c>
      <c r="AN154" s="24">
        <v>21</v>
      </c>
      <c r="AO154" s="24">
        <f>G154*0.038551587</f>
        <v>0</v>
      </c>
      <c r="AP154" s="24">
        <f>G154*(1-0.038551587)</f>
        <v>0</v>
      </c>
      <c r="AQ154" s="26" t="s">
        <v>54</v>
      </c>
      <c r="AV154" s="24">
        <f>AW154+AX154</f>
        <v>0</v>
      </c>
      <c r="AW154" s="24">
        <f>F154*AO154</f>
        <v>0</v>
      </c>
      <c r="AX154" s="24">
        <f>F154*AP154</f>
        <v>0</v>
      </c>
      <c r="AY154" s="26" t="s">
        <v>208</v>
      </c>
      <c r="AZ154" s="26" t="s">
        <v>209</v>
      </c>
      <c r="BA154" s="10" t="s">
        <v>59</v>
      </c>
      <c r="BC154" s="24">
        <f>AW154+AX154</f>
        <v>0</v>
      </c>
      <c r="BD154" s="24">
        <f>G154/(100-BE154)*100</f>
        <v>0</v>
      </c>
      <c r="BE154" s="24">
        <v>0</v>
      </c>
      <c r="BF154" s="24">
        <f>154</f>
        <v>154</v>
      </c>
      <c r="BH154" s="24">
        <f>F154*AO154</f>
        <v>0</v>
      </c>
      <c r="BI154" s="24">
        <f>F154*AP154</f>
        <v>0</v>
      </c>
      <c r="BJ154" s="24">
        <f>F154*G154</f>
        <v>0</v>
      </c>
      <c r="BK154" s="24"/>
      <c r="BL154" s="24">
        <v>96</v>
      </c>
      <c r="BW154" s="24">
        <v>21</v>
      </c>
      <c r="BX154" s="4" t="s">
        <v>315</v>
      </c>
    </row>
    <row r="155" spans="1:76">
      <c r="A155" s="27"/>
      <c r="C155" s="28" t="s">
        <v>316</v>
      </c>
      <c r="D155" s="28" t="s">
        <v>51</v>
      </c>
      <c r="F155" s="29">
        <v>26.545500000000001</v>
      </c>
      <c r="K155" s="30"/>
    </row>
    <row r="156" spans="1:76">
      <c r="A156" s="27"/>
      <c r="C156" s="28" t="s">
        <v>317</v>
      </c>
      <c r="D156" s="28" t="s">
        <v>51</v>
      </c>
      <c r="F156" s="29">
        <v>53.753999999999998</v>
      </c>
      <c r="K156" s="30"/>
    </row>
    <row r="157" spans="1:76">
      <c r="A157" s="27"/>
      <c r="C157" s="28" t="s">
        <v>318</v>
      </c>
      <c r="D157" s="28" t="s">
        <v>51</v>
      </c>
      <c r="F157" s="29">
        <v>11.314349999999999</v>
      </c>
      <c r="K157" s="30"/>
    </row>
    <row r="158" spans="1:76">
      <c r="A158" s="27"/>
      <c r="C158" s="28" t="s">
        <v>319</v>
      </c>
      <c r="D158" s="28" t="s">
        <v>51</v>
      </c>
      <c r="F158" s="29">
        <v>29.2395</v>
      </c>
      <c r="K158" s="30"/>
    </row>
    <row r="159" spans="1:76">
      <c r="A159" s="27"/>
      <c r="C159" s="28" t="s">
        <v>320</v>
      </c>
      <c r="D159" s="28" t="s">
        <v>51</v>
      </c>
      <c r="F159" s="29">
        <v>13.433999999999999</v>
      </c>
      <c r="K159" s="30"/>
    </row>
    <row r="160" spans="1:76">
      <c r="A160" s="27"/>
      <c r="C160" s="28" t="s">
        <v>321</v>
      </c>
      <c r="D160" s="28" t="s">
        <v>51</v>
      </c>
      <c r="F160" s="29">
        <v>39.610799999999998</v>
      </c>
      <c r="K160" s="30"/>
    </row>
    <row r="161" spans="1:76">
      <c r="A161" s="27"/>
      <c r="C161" s="28" t="s">
        <v>322</v>
      </c>
      <c r="D161" s="28" t="s">
        <v>51</v>
      </c>
      <c r="F161" s="29">
        <v>36.924599999999998</v>
      </c>
      <c r="K161" s="30"/>
    </row>
    <row r="162" spans="1:76">
      <c r="A162" s="27"/>
      <c r="C162" s="28" t="s">
        <v>323</v>
      </c>
      <c r="D162" s="28" t="s">
        <v>51</v>
      </c>
      <c r="F162" s="29">
        <v>169</v>
      </c>
      <c r="K162" s="30"/>
    </row>
    <row r="163" spans="1:76">
      <c r="A163" s="27"/>
      <c r="C163" s="28" t="s">
        <v>324</v>
      </c>
      <c r="D163" s="28" t="s">
        <v>51</v>
      </c>
      <c r="F163" s="29">
        <v>48.612409999999997</v>
      </c>
      <c r="K163" s="30"/>
    </row>
    <row r="164" spans="1:76">
      <c r="A164" s="27"/>
      <c r="C164" s="28" t="s">
        <v>325</v>
      </c>
      <c r="D164" s="28" t="s">
        <v>51</v>
      </c>
      <c r="F164" s="29">
        <v>0.72</v>
      </c>
      <c r="K164" s="30"/>
    </row>
    <row r="165" spans="1:76">
      <c r="A165" s="27"/>
      <c r="C165" s="28" t="s">
        <v>326</v>
      </c>
      <c r="D165" s="28" t="s">
        <v>51</v>
      </c>
      <c r="F165" s="29">
        <v>-27.207000000000001</v>
      </c>
      <c r="K165" s="30"/>
    </row>
    <row r="166" spans="1:76">
      <c r="A166" s="2" t="s">
        <v>327</v>
      </c>
      <c r="B166" s="3" t="s">
        <v>328</v>
      </c>
      <c r="C166" s="73" t="s">
        <v>329</v>
      </c>
      <c r="D166" s="68"/>
      <c r="E166" s="3" t="s">
        <v>66</v>
      </c>
      <c r="F166" s="24">
        <v>4.18</v>
      </c>
      <c r="G166" s="24">
        <v>0</v>
      </c>
      <c r="H166" s="24">
        <f>F166*AO166</f>
        <v>0</v>
      </c>
      <c r="I166" s="24">
        <f>F166*AP166</f>
        <v>0</v>
      </c>
      <c r="J166" s="24">
        <f>F166*G166</f>
        <v>0</v>
      </c>
      <c r="K166" s="25" t="s">
        <v>67</v>
      </c>
      <c r="Z166" s="24">
        <f>IF(AQ166="5",BJ166,0)</f>
        <v>0</v>
      </c>
      <c r="AB166" s="24">
        <f>IF(AQ166="1",BH166,0)</f>
        <v>0</v>
      </c>
      <c r="AC166" s="24">
        <f>IF(AQ166="1",BI166,0)</f>
        <v>0</v>
      </c>
      <c r="AD166" s="24">
        <f>IF(AQ166="7",BH166,0)</f>
        <v>0</v>
      </c>
      <c r="AE166" s="24">
        <f>IF(AQ166="7",BI166,0)</f>
        <v>0</v>
      </c>
      <c r="AF166" s="24">
        <f>IF(AQ166="2",BH166,0)</f>
        <v>0</v>
      </c>
      <c r="AG166" s="24">
        <f>IF(AQ166="2",BI166,0)</f>
        <v>0</v>
      </c>
      <c r="AH166" s="24">
        <f>IF(AQ166="0",BJ166,0)</f>
        <v>0</v>
      </c>
      <c r="AI166" s="10" t="s">
        <v>51</v>
      </c>
      <c r="AJ166" s="24">
        <f>IF(AN166=0,J166,0)</f>
        <v>0</v>
      </c>
      <c r="AK166" s="24">
        <f>IF(AN166=12,J166,0)</f>
        <v>0</v>
      </c>
      <c r="AL166" s="24">
        <f>IF(AN166=21,J166,0)</f>
        <v>0</v>
      </c>
      <c r="AN166" s="24">
        <v>21</v>
      </c>
      <c r="AO166" s="24">
        <f>G166*0</f>
        <v>0</v>
      </c>
      <c r="AP166" s="24">
        <f>G166*(1-0)</f>
        <v>0</v>
      </c>
      <c r="AQ166" s="26" t="s">
        <v>54</v>
      </c>
      <c r="AV166" s="24">
        <f>AW166+AX166</f>
        <v>0</v>
      </c>
      <c r="AW166" s="24">
        <f>F166*AO166</f>
        <v>0</v>
      </c>
      <c r="AX166" s="24">
        <f>F166*AP166</f>
        <v>0</v>
      </c>
      <c r="AY166" s="26" t="s">
        <v>208</v>
      </c>
      <c r="AZ166" s="26" t="s">
        <v>209</v>
      </c>
      <c r="BA166" s="10" t="s">
        <v>59</v>
      </c>
      <c r="BC166" s="24">
        <f>AW166+AX166</f>
        <v>0</v>
      </c>
      <c r="BD166" s="24">
        <f>G166/(100-BE166)*100</f>
        <v>0</v>
      </c>
      <c r="BE166" s="24">
        <v>0</v>
      </c>
      <c r="BF166" s="24">
        <f>166</f>
        <v>166</v>
      </c>
      <c r="BH166" s="24">
        <f>F166*AO166</f>
        <v>0</v>
      </c>
      <c r="BI166" s="24">
        <f>F166*AP166</f>
        <v>0</v>
      </c>
      <c r="BJ166" s="24">
        <f>F166*G166</f>
        <v>0</v>
      </c>
      <c r="BK166" s="24"/>
      <c r="BL166" s="24">
        <v>96</v>
      </c>
      <c r="BW166" s="24">
        <v>21</v>
      </c>
      <c r="BX166" s="4" t="s">
        <v>329</v>
      </c>
    </row>
    <row r="167" spans="1:76">
      <c r="A167" s="27"/>
      <c r="C167" s="28" t="s">
        <v>330</v>
      </c>
      <c r="D167" s="28" t="s">
        <v>51</v>
      </c>
      <c r="F167" s="29">
        <v>3.37</v>
      </c>
      <c r="K167" s="30"/>
    </row>
    <row r="168" spans="1:76">
      <c r="A168" s="27"/>
      <c r="C168" s="28" t="s">
        <v>331</v>
      </c>
      <c r="D168" s="28" t="s">
        <v>51</v>
      </c>
      <c r="F168" s="29">
        <v>0.81</v>
      </c>
      <c r="K168" s="30"/>
    </row>
    <row r="169" spans="1:76">
      <c r="A169" s="31" t="s">
        <v>51</v>
      </c>
      <c r="B169" s="32" t="s">
        <v>332</v>
      </c>
      <c r="C169" s="89" t="s">
        <v>333</v>
      </c>
      <c r="D169" s="90"/>
      <c r="E169" s="33" t="s">
        <v>4</v>
      </c>
      <c r="F169" s="33" t="s">
        <v>4</v>
      </c>
      <c r="G169" s="33" t="s">
        <v>4</v>
      </c>
      <c r="H169" s="1">
        <f>SUM(H170:H172)</f>
        <v>0</v>
      </c>
      <c r="I169" s="1">
        <f>SUM(I170:I172)</f>
        <v>0</v>
      </c>
      <c r="J169" s="1">
        <f>SUM(J170:J172)</f>
        <v>0</v>
      </c>
      <c r="K169" s="34" t="s">
        <v>51</v>
      </c>
      <c r="AI169" s="10" t="s">
        <v>51</v>
      </c>
      <c r="AS169" s="1">
        <f>SUM(AJ170:AJ172)</f>
        <v>0</v>
      </c>
      <c r="AT169" s="1">
        <f>SUM(AK170:AK172)</f>
        <v>0</v>
      </c>
      <c r="AU169" s="1">
        <f>SUM(AL170:AL172)</f>
        <v>0</v>
      </c>
    </row>
    <row r="170" spans="1:76">
      <c r="A170" s="2" t="s">
        <v>334</v>
      </c>
      <c r="B170" s="3" t="s">
        <v>335</v>
      </c>
      <c r="C170" s="73" t="s">
        <v>336</v>
      </c>
      <c r="D170" s="68"/>
      <c r="E170" s="3" t="s">
        <v>151</v>
      </c>
      <c r="F170" s="24">
        <v>1</v>
      </c>
      <c r="G170" s="24">
        <v>0</v>
      </c>
      <c r="H170" s="24">
        <f>F170*AO170</f>
        <v>0</v>
      </c>
      <c r="I170" s="24">
        <f>F170*AP170</f>
        <v>0</v>
      </c>
      <c r="J170" s="24">
        <f>F170*G170</f>
        <v>0</v>
      </c>
      <c r="K170" s="25" t="s">
        <v>51</v>
      </c>
      <c r="Z170" s="24">
        <f>IF(AQ170="5",BJ170,0)</f>
        <v>0</v>
      </c>
      <c r="AB170" s="24">
        <f>IF(AQ170="1",BH170,0)</f>
        <v>0</v>
      </c>
      <c r="AC170" s="24">
        <f>IF(AQ170="1",BI170,0)</f>
        <v>0</v>
      </c>
      <c r="AD170" s="24">
        <f>IF(AQ170="7",BH170,0)</f>
        <v>0</v>
      </c>
      <c r="AE170" s="24">
        <f>IF(AQ170="7",BI170,0)</f>
        <v>0</v>
      </c>
      <c r="AF170" s="24">
        <f>IF(AQ170="2",BH170,0)</f>
        <v>0</v>
      </c>
      <c r="AG170" s="24">
        <f>IF(AQ170="2",BI170,0)</f>
        <v>0</v>
      </c>
      <c r="AH170" s="24">
        <f>IF(AQ170="0",BJ170,0)</f>
        <v>0</v>
      </c>
      <c r="AI170" s="10" t="s">
        <v>51</v>
      </c>
      <c r="AJ170" s="24">
        <f>IF(AN170=0,J170,0)</f>
        <v>0</v>
      </c>
      <c r="AK170" s="24">
        <f>IF(AN170=12,J170,0)</f>
        <v>0</v>
      </c>
      <c r="AL170" s="24">
        <f>IF(AN170=21,J170,0)</f>
        <v>0</v>
      </c>
      <c r="AN170" s="24">
        <v>21</v>
      </c>
      <c r="AO170" s="24">
        <f>G170*0</f>
        <v>0</v>
      </c>
      <c r="AP170" s="24">
        <f>G170*(1-0)</f>
        <v>0</v>
      </c>
      <c r="AQ170" s="26" t="s">
        <v>54</v>
      </c>
      <c r="AV170" s="24">
        <f>AW170+AX170</f>
        <v>0</v>
      </c>
      <c r="AW170" s="24">
        <f>F170*AO170</f>
        <v>0</v>
      </c>
      <c r="AX170" s="24">
        <f>F170*AP170</f>
        <v>0</v>
      </c>
      <c r="AY170" s="26" t="s">
        <v>337</v>
      </c>
      <c r="AZ170" s="26" t="s">
        <v>209</v>
      </c>
      <c r="BA170" s="10" t="s">
        <v>59</v>
      </c>
      <c r="BC170" s="24">
        <f>AW170+AX170</f>
        <v>0</v>
      </c>
      <c r="BD170" s="24">
        <f>G170/(100-BE170)*100</f>
        <v>0</v>
      </c>
      <c r="BE170" s="24">
        <v>0</v>
      </c>
      <c r="BF170" s="24">
        <f>170</f>
        <v>170</v>
      </c>
      <c r="BH170" s="24">
        <f>F170*AO170</f>
        <v>0</v>
      </c>
      <c r="BI170" s="24">
        <f>F170*AP170</f>
        <v>0</v>
      </c>
      <c r="BJ170" s="24">
        <f>F170*G170</f>
        <v>0</v>
      </c>
      <c r="BK170" s="24"/>
      <c r="BL170" s="24">
        <v>968</v>
      </c>
      <c r="BW170" s="24">
        <v>21</v>
      </c>
      <c r="BX170" s="4" t="s">
        <v>336</v>
      </c>
    </row>
    <row r="171" spans="1:76">
      <c r="A171" s="27"/>
      <c r="C171" s="28" t="s">
        <v>338</v>
      </c>
      <c r="D171" s="28" t="s">
        <v>51</v>
      </c>
      <c r="F171" s="29">
        <v>1</v>
      </c>
      <c r="K171" s="30"/>
    </row>
    <row r="172" spans="1:76">
      <c r="A172" s="2" t="s">
        <v>339</v>
      </c>
      <c r="B172" s="3" t="s">
        <v>340</v>
      </c>
      <c r="C172" s="73" t="s">
        <v>341</v>
      </c>
      <c r="D172" s="68"/>
      <c r="E172" s="3" t="s">
        <v>57</v>
      </c>
      <c r="F172" s="24">
        <v>1</v>
      </c>
      <c r="G172" s="24">
        <v>0</v>
      </c>
      <c r="H172" s="24">
        <f>F172*AO172</f>
        <v>0</v>
      </c>
      <c r="I172" s="24">
        <f>F172*AP172</f>
        <v>0</v>
      </c>
      <c r="J172" s="24">
        <f>F172*G172</f>
        <v>0</v>
      </c>
      <c r="K172" s="25" t="s">
        <v>51</v>
      </c>
      <c r="Z172" s="24">
        <f>IF(AQ172="5",BJ172,0)</f>
        <v>0</v>
      </c>
      <c r="AB172" s="24">
        <f>IF(AQ172="1",BH172,0)</f>
        <v>0</v>
      </c>
      <c r="AC172" s="24">
        <f>IF(AQ172="1",BI172,0)</f>
        <v>0</v>
      </c>
      <c r="AD172" s="24">
        <f>IF(AQ172="7",BH172,0)</f>
        <v>0</v>
      </c>
      <c r="AE172" s="24">
        <f>IF(AQ172="7",BI172,0)</f>
        <v>0</v>
      </c>
      <c r="AF172" s="24">
        <f>IF(AQ172="2",BH172,0)</f>
        <v>0</v>
      </c>
      <c r="AG172" s="24">
        <f>IF(AQ172="2",BI172,0)</f>
        <v>0</v>
      </c>
      <c r="AH172" s="24">
        <f>IF(AQ172="0",BJ172,0)</f>
        <v>0</v>
      </c>
      <c r="AI172" s="10" t="s">
        <v>51</v>
      </c>
      <c r="AJ172" s="24">
        <f>IF(AN172=0,J172,0)</f>
        <v>0</v>
      </c>
      <c r="AK172" s="24">
        <f>IF(AN172=12,J172,0)</f>
        <v>0</v>
      </c>
      <c r="AL172" s="24">
        <f>IF(AN172=21,J172,0)</f>
        <v>0</v>
      </c>
      <c r="AN172" s="24">
        <v>21</v>
      </c>
      <c r="AO172" s="24">
        <f>G172*0</f>
        <v>0</v>
      </c>
      <c r="AP172" s="24">
        <f>G172*(1-0)</f>
        <v>0</v>
      </c>
      <c r="AQ172" s="26" t="s">
        <v>54</v>
      </c>
      <c r="AV172" s="24">
        <f>AW172+AX172</f>
        <v>0</v>
      </c>
      <c r="AW172" s="24">
        <f>F172*AO172</f>
        <v>0</v>
      </c>
      <c r="AX172" s="24">
        <f>F172*AP172</f>
        <v>0</v>
      </c>
      <c r="AY172" s="26" t="s">
        <v>337</v>
      </c>
      <c r="AZ172" s="26" t="s">
        <v>209</v>
      </c>
      <c r="BA172" s="10" t="s">
        <v>59</v>
      </c>
      <c r="BC172" s="24">
        <f>AW172+AX172</f>
        <v>0</v>
      </c>
      <c r="BD172" s="24">
        <f>G172/(100-BE172)*100</f>
        <v>0</v>
      </c>
      <c r="BE172" s="24">
        <v>0</v>
      </c>
      <c r="BF172" s="24">
        <f>172</f>
        <v>172</v>
      </c>
      <c r="BH172" s="24">
        <f>F172*AO172</f>
        <v>0</v>
      </c>
      <c r="BI172" s="24">
        <f>F172*AP172</f>
        <v>0</v>
      </c>
      <c r="BJ172" s="24">
        <f>F172*G172</f>
        <v>0</v>
      </c>
      <c r="BK172" s="24"/>
      <c r="BL172" s="24">
        <v>968</v>
      </c>
      <c r="BW172" s="24">
        <v>21</v>
      </c>
      <c r="BX172" s="4" t="s">
        <v>341</v>
      </c>
    </row>
    <row r="173" spans="1:76">
      <c r="A173" s="27"/>
      <c r="C173" s="28" t="s">
        <v>342</v>
      </c>
      <c r="D173" s="28" t="s">
        <v>51</v>
      </c>
      <c r="F173" s="29">
        <v>1</v>
      </c>
      <c r="K173" s="30"/>
    </row>
    <row r="174" spans="1:76">
      <c r="A174" s="31" t="s">
        <v>51</v>
      </c>
      <c r="B174" s="32" t="s">
        <v>343</v>
      </c>
      <c r="C174" s="89" t="s">
        <v>344</v>
      </c>
      <c r="D174" s="90"/>
      <c r="E174" s="33" t="s">
        <v>4</v>
      </c>
      <c r="F174" s="33" t="s">
        <v>4</v>
      </c>
      <c r="G174" s="33" t="s">
        <v>4</v>
      </c>
      <c r="H174" s="1">
        <f>SUM(H175:H180)</f>
        <v>0</v>
      </c>
      <c r="I174" s="1">
        <f>SUM(I175:I180)</f>
        <v>0</v>
      </c>
      <c r="J174" s="1">
        <f>SUM(J175:J180)</f>
        <v>0</v>
      </c>
      <c r="K174" s="34" t="s">
        <v>51</v>
      </c>
      <c r="AI174" s="10" t="s">
        <v>51</v>
      </c>
      <c r="AS174" s="1">
        <f>SUM(AJ175:AJ180)</f>
        <v>0</v>
      </c>
      <c r="AT174" s="1">
        <f>SUM(AK175:AK180)</f>
        <v>0</v>
      </c>
      <c r="AU174" s="1">
        <f>SUM(AL175:AL180)</f>
        <v>0</v>
      </c>
    </row>
    <row r="175" spans="1:76">
      <c r="A175" s="2" t="s">
        <v>345</v>
      </c>
      <c r="B175" s="3" t="s">
        <v>346</v>
      </c>
      <c r="C175" s="73" t="s">
        <v>347</v>
      </c>
      <c r="D175" s="68"/>
      <c r="E175" s="3" t="s">
        <v>78</v>
      </c>
      <c r="F175" s="24">
        <v>49.866230000000002</v>
      </c>
      <c r="G175" s="24">
        <v>0</v>
      </c>
      <c r="H175" s="24">
        <f>F175*AO175</f>
        <v>0</v>
      </c>
      <c r="I175" s="24">
        <f>F175*AP175</f>
        <v>0</v>
      </c>
      <c r="J175" s="24">
        <f>F175*G175</f>
        <v>0</v>
      </c>
      <c r="K175" s="25" t="s">
        <v>67</v>
      </c>
      <c r="Z175" s="24">
        <f>IF(AQ175="5",BJ175,0)</f>
        <v>0</v>
      </c>
      <c r="AB175" s="24">
        <f>IF(AQ175="1",BH175,0)</f>
        <v>0</v>
      </c>
      <c r="AC175" s="24">
        <f>IF(AQ175="1",BI175,0)</f>
        <v>0</v>
      </c>
      <c r="AD175" s="24">
        <f>IF(AQ175="7",BH175,0)</f>
        <v>0</v>
      </c>
      <c r="AE175" s="24">
        <f>IF(AQ175="7",BI175,0)</f>
        <v>0</v>
      </c>
      <c r="AF175" s="24">
        <f>IF(AQ175="2",BH175,0)</f>
        <v>0</v>
      </c>
      <c r="AG175" s="24">
        <f>IF(AQ175="2",BI175,0)</f>
        <v>0</v>
      </c>
      <c r="AH175" s="24">
        <f>IF(AQ175="0",BJ175,0)</f>
        <v>0</v>
      </c>
      <c r="AI175" s="10" t="s">
        <v>51</v>
      </c>
      <c r="AJ175" s="24">
        <f>IF(AN175=0,J175,0)</f>
        <v>0</v>
      </c>
      <c r="AK175" s="24">
        <f>IF(AN175=12,J175,0)</f>
        <v>0</v>
      </c>
      <c r="AL175" s="24">
        <f>IF(AN175=21,J175,0)</f>
        <v>0</v>
      </c>
      <c r="AN175" s="24">
        <v>21</v>
      </c>
      <c r="AO175" s="24">
        <f>G175*0</f>
        <v>0</v>
      </c>
      <c r="AP175" s="24">
        <f>G175*(1-0)</f>
        <v>0</v>
      </c>
      <c r="AQ175" s="26" t="s">
        <v>54</v>
      </c>
      <c r="AV175" s="24">
        <f>AW175+AX175</f>
        <v>0</v>
      </c>
      <c r="AW175" s="24">
        <f>F175*AO175</f>
        <v>0</v>
      </c>
      <c r="AX175" s="24">
        <f>F175*AP175</f>
        <v>0</v>
      </c>
      <c r="AY175" s="26" t="s">
        <v>348</v>
      </c>
      <c r="AZ175" s="26" t="s">
        <v>209</v>
      </c>
      <c r="BA175" s="10" t="s">
        <v>59</v>
      </c>
      <c r="BC175" s="24">
        <f>AW175+AX175</f>
        <v>0</v>
      </c>
      <c r="BD175" s="24">
        <f>G175/(100-BE175)*100</f>
        <v>0</v>
      </c>
      <c r="BE175" s="24">
        <v>0</v>
      </c>
      <c r="BF175" s="24">
        <f>175</f>
        <v>175</v>
      </c>
      <c r="BH175" s="24">
        <f>F175*AO175</f>
        <v>0</v>
      </c>
      <c r="BI175" s="24">
        <f>F175*AP175</f>
        <v>0</v>
      </c>
      <c r="BJ175" s="24">
        <f>F175*G175</f>
        <v>0</v>
      </c>
      <c r="BK175" s="24"/>
      <c r="BL175" s="24">
        <v>97</v>
      </c>
      <c r="BW175" s="24">
        <v>21</v>
      </c>
      <c r="BX175" s="4" t="s">
        <v>347</v>
      </c>
    </row>
    <row r="176" spans="1:76">
      <c r="A176" s="27"/>
      <c r="C176" s="28" t="s">
        <v>349</v>
      </c>
      <c r="D176" s="28" t="s">
        <v>51</v>
      </c>
      <c r="F176" s="29">
        <v>21.78623</v>
      </c>
      <c r="K176" s="30"/>
    </row>
    <row r="177" spans="1:76">
      <c r="A177" s="27"/>
      <c r="C177" s="28" t="s">
        <v>350</v>
      </c>
      <c r="D177" s="28" t="s">
        <v>51</v>
      </c>
      <c r="F177" s="29">
        <v>10.62</v>
      </c>
      <c r="K177" s="30"/>
    </row>
    <row r="178" spans="1:76">
      <c r="A178" s="27"/>
      <c r="C178" s="28" t="s">
        <v>351</v>
      </c>
      <c r="D178" s="28" t="s">
        <v>51</v>
      </c>
      <c r="F178" s="29">
        <v>8.9640000000000004</v>
      </c>
      <c r="K178" s="30"/>
    </row>
    <row r="179" spans="1:76">
      <c r="A179" s="27"/>
      <c r="C179" s="28" t="s">
        <v>352</v>
      </c>
      <c r="D179" s="28" t="s">
        <v>51</v>
      </c>
      <c r="F179" s="29">
        <v>8.4960000000000004</v>
      </c>
      <c r="K179" s="30"/>
    </row>
    <row r="180" spans="1:76">
      <c r="A180" s="2" t="s">
        <v>353</v>
      </c>
      <c r="B180" s="3" t="s">
        <v>354</v>
      </c>
      <c r="C180" s="73" t="s">
        <v>355</v>
      </c>
      <c r="D180" s="68"/>
      <c r="E180" s="3" t="s">
        <v>78</v>
      </c>
      <c r="F180" s="24">
        <v>392.98050000000001</v>
      </c>
      <c r="G180" s="24">
        <v>0</v>
      </c>
      <c r="H180" s="24">
        <f>F180*AO180</f>
        <v>0</v>
      </c>
      <c r="I180" s="24">
        <f>F180*AP180</f>
        <v>0</v>
      </c>
      <c r="J180" s="24">
        <f>F180*G180</f>
        <v>0</v>
      </c>
      <c r="K180" s="25" t="s">
        <v>67</v>
      </c>
      <c r="Z180" s="24">
        <f>IF(AQ180="5",BJ180,0)</f>
        <v>0</v>
      </c>
      <c r="AB180" s="24">
        <f>IF(AQ180="1",BH180,0)</f>
        <v>0</v>
      </c>
      <c r="AC180" s="24">
        <f>IF(AQ180="1",BI180,0)</f>
        <v>0</v>
      </c>
      <c r="AD180" s="24">
        <f>IF(AQ180="7",BH180,0)</f>
        <v>0</v>
      </c>
      <c r="AE180" s="24">
        <f>IF(AQ180="7",BI180,0)</f>
        <v>0</v>
      </c>
      <c r="AF180" s="24">
        <f>IF(AQ180="2",BH180,0)</f>
        <v>0</v>
      </c>
      <c r="AG180" s="24">
        <f>IF(AQ180="2",BI180,0)</f>
        <v>0</v>
      </c>
      <c r="AH180" s="24">
        <f>IF(AQ180="0",BJ180,0)</f>
        <v>0</v>
      </c>
      <c r="AI180" s="10" t="s">
        <v>51</v>
      </c>
      <c r="AJ180" s="24">
        <f>IF(AN180=0,J180,0)</f>
        <v>0</v>
      </c>
      <c r="AK180" s="24">
        <f>IF(AN180=12,J180,0)</f>
        <v>0</v>
      </c>
      <c r="AL180" s="24">
        <f>IF(AN180=21,J180,0)</f>
        <v>0</v>
      </c>
      <c r="AN180" s="24">
        <v>21</v>
      </c>
      <c r="AO180" s="24">
        <f>G180*0</f>
        <v>0</v>
      </c>
      <c r="AP180" s="24">
        <f>G180*(1-0)</f>
        <v>0</v>
      </c>
      <c r="AQ180" s="26" t="s">
        <v>54</v>
      </c>
      <c r="AV180" s="24">
        <f>AW180+AX180</f>
        <v>0</v>
      </c>
      <c r="AW180" s="24">
        <f>F180*AO180</f>
        <v>0</v>
      </c>
      <c r="AX180" s="24">
        <f>F180*AP180</f>
        <v>0</v>
      </c>
      <c r="AY180" s="26" t="s">
        <v>348</v>
      </c>
      <c r="AZ180" s="26" t="s">
        <v>209</v>
      </c>
      <c r="BA180" s="10" t="s">
        <v>59</v>
      </c>
      <c r="BC180" s="24">
        <f>AW180+AX180</f>
        <v>0</v>
      </c>
      <c r="BD180" s="24">
        <f>G180/(100-BE180)*100</f>
        <v>0</v>
      </c>
      <c r="BE180" s="24">
        <v>0</v>
      </c>
      <c r="BF180" s="24">
        <f>180</f>
        <v>180</v>
      </c>
      <c r="BH180" s="24">
        <f>F180*AO180</f>
        <v>0</v>
      </c>
      <c r="BI180" s="24">
        <f>F180*AP180</f>
        <v>0</v>
      </c>
      <c r="BJ180" s="24">
        <f>F180*G180</f>
        <v>0</v>
      </c>
      <c r="BK180" s="24"/>
      <c r="BL180" s="24">
        <v>97</v>
      </c>
      <c r="BW180" s="24">
        <v>21</v>
      </c>
      <c r="BX180" s="4" t="s">
        <v>355</v>
      </c>
    </row>
    <row r="181" spans="1:76">
      <c r="A181" s="27"/>
      <c r="C181" s="28" t="s">
        <v>356</v>
      </c>
      <c r="D181" s="28" t="s">
        <v>51</v>
      </c>
      <c r="F181" s="29">
        <v>392.98050000000001</v>
      </c>
      <c r="K181" s="30"/>
    </row>
    <row r="182" spans="1:76">
      <c r="A182" s="31" t="s">
        <v>51</v>
      </c>
      <c r="B182" s="32" t="s">
        <v>357</v>
      </c>
      <c r="C182" s="89" t="s">
        <v>358</v>
      </c>
      <c r="D182" s="90"/>
      <c r="E182" s="33" t="s">
        <v>4</v>
      </c>
      <c r="F182" s="33" t="s">
        <v>4</v>
      </c>
      <c r="G182" s="33" t="s">
        <v>4</v>
      </c>
      <c r="H182" s="1">
        <f>SUM(H183:H215)</f>
        <v>0</v>
      </c>
      <c r="I182" s="1">
        <f>SUM(I183:I215)</f>
        <v>0</v>
      </c>
      <c r="J182" s="1">
        <f>SUM(J183:J215)</f>
        <v>0</v>
      </c>
      <c r="K182" s="34" t="s">
        <v>51</v>
      </c>
      <c r="AI182" s="10" t="s">
        <v>51</v>
      </c>
      <c r="AS182" s="1">
        <f>SUM(AJ183:AJ215)</f>
        <v>0</v>
      </c>
      <c r="AT182" s="1">
        <f>SUM(AK183:AK215)</f>
        <v>0</v>
      </c>
      <c r="AU182" s="1">
        <f>SUM(AL183:AL215)</f>
        <v>0</v>
      </c>
    </row>
    <row r="183" spans="1:76">
      <c r="A183" s="2" t="s">
        <v>359</v>
      </c>
      <c r="B183" s="3" t="s">
        <v>360</v>
      </c>
      <c r="C183" s="73" t="s">
        <v>361</v>
      </c>
      <c r="D183" s="68"/>
      <c r="E183" s="3" t="s">
        <v>277</v>
      </c>
      <c r="F183" s="24">
        <v>1105.73026</v>
      </c>
      <c r="G183" s="24">
        <v>0</v>
      </c>
      <c r="H183" s="24">
        <f>F183*AO183</f>
        <v>0</v>
      </c>
      <c r="I183" s="24">
        <f>F183*AP183</f>
        <v>0</v>
      </c>
      <c r="J183" s="24">
        <f>F183*G183</f>
        <v>0</v>
      </c>
      <c r="K183" s="25" t="s">
        <v>67</v>
      </c>
      <c r="Z183" s="24">
        <f>IF(AQ183="5",BJ183,0)</f>
        <v>0</v>
      </c>
      <c r="AB183" s="24">
        <f>IF(AQ183="1",BH183,0)</f>
        <v>0</v>
      </c>
      <c r="AC183" s="24">
        <f>IF(AQ183="1",BI183,0)</f>
        <v>0</v>
      </c>
      <c r="AD183" s="24">
        <f>IF(AQ183="7",BH183,0)</f>
        <v>0</v>
      </c>
      <c r="AE183" s="24">
        <f>IF(AQ183="7",BI183,0)</f>
        <v>0</v>
      </c>
      <c r="AF183" s="24">
        <f>IF(AQ183="2",BH183,0)</f>
        <v>0</v>
      </c>
      <c r="AG183" s="24">
        <f>IF(AQ183="2",BI183,0)</f>
        <v>0</v>
      </c>
      <c r="AH183" s="24">
        <f>IF(AQ183="0",BJ183,0)</f>
        <v>0</v>
      </c>
      <c r="AI183" s="10" t="s">
        <v>51</v>
      </c>
      <c r="AJ183" s="24">
        <f>IF(AN183=0,J183,0)</f>
        <v>0</v>
      </c>
      <c r="AK183" s="24">
        <f>IF(AN183=12,J183,0)</f>
        <v>0</v>
      </c>
      <c r="AL183" s="24">
        <f>IF(AN183=21,J183,0)</f>
        <v>0</v>
      </c>
      <c r="AN183" s="24">
        <v>21</v>
      </c>
      <c r="AO183" s="24">
        <f>G183*0</f>
        <v>0</v>
      </c>
      <c r="AP183" s="24">
        <f>G183*(1-0)</f>
        <v>0</v>
      </c>
      <c r="AQ183" s="26" t="s">
        <v>89</v>
      </c>
      <c r="AV183" s="24">
        <f>AW183+AX183</f>
        <v>0</v>
      </c>
      <c r="AW183" s="24">
        <f>F183*AO183</f>
        <v>0</v>
      </c>
      <c r="AX183" s="24">
        <f>F183*AP183</f>
        <v>0</v>
      </c>
      <c r="AY183" s="26" t="s">
        <v>362</v>
      </c>
      <c r="AZ183" s="26" t="s">
        <v>209</v>
      </c>
      <c r="BA183" s="10" t="s">
        <v>59</v>
      </c>
      <c r="BC183" s="24">
        <f>AW183+AX183</f>
        <v>0</v>
      </c>
      <c r="BD183" s="24">
        <f>G183/(100-BE183)*100</f>
        <v>0</v>
      </c>
      <c r="BE183" s="24">
        <v>0</v>
      </c>
      <c r="BF183" s="24">
        <f>183</f>
        <v>183</v>
      </c>
      <c r="BH183" s="24">
        <f>F183*AO183</f>
        <v>0</v>
      </c>
      <c r="BI183" s="24">
        <f>F183*AP183</f>
        <v>0</v>
      </c>
      <c r="BJ183" s="24">
        <f>F183*G183</f>
        <v>0</v>
      </c>
      <c r="BK183" s="24"/>
      <c r="BL183" s="24"/>
      <c r="BW183" s="24">
        <v>21</v>
      </c>
      <c r="BX183" s="4" t="s">
        <v>361</v>
      </c>
    </row>
    <row r="184" spans="1:76">
      <c r="A184" s="27"/>
      <c r="C184" s="28" t="s">
        <v>363</v>
      </c>
      <c r="D184" s="28" t="s">
        <v>51</v>
      </c>
      <c r="F184" s="29">
        <v>1105.73026</v>
      </c>
      <c r="K184" s="30"/>
    </row>
    <row r="185" spans="1:76">
      <c r="A185" s="2" t="s">
        <v>364</v>
      </c>
      <c r="B185" s="3" t="s">
        <v>365</v>
      </c>
      <c r="C185" s="73" t="s">
        <v>366</v>
      </c>
      <c r="D185" s="68"/>
      <c r="E185" s="3" t="s">
        <v>277</v>
      </c>
      <c r="F185" s="24">
        <v>173.97200000000001</v>
      </c>
      <c r="G185" s="24">
        <v>0</v>
      </c>
      <c r="H185" s="24">
        <f>F185*AO185</f>
        <v>0</v>
      </c>
      <c r="I185" s="24">
        <f>F185*AP185</f>
        <v>0</v>
      </c>
      <c r="J185" s="24">
        <f>F185*G185</f>
        <v>0</v>
      </c>
      <c r="K185" s="25" t="s">
        <v>67</v>
      </c>
      <c r="Z185" s="24">
        <f>IF(AQ185="5",BJ185,0)</f>
        <v>0</v>
      </c>
      <c r="AB185" s="24">
        <f>IF(AQ185="1",BH185,0)</f>
        <v>0</v>
      </c>
      <c r="AC185" s="24">
        <f>IF(AQ185="1",BI185,0)</f>
        <v>0</v>
      </c>
      <c r="AD185" s="24">
        <f>IF(AQ185="7",BH185,0)</f>
        <v>0</v>
      </c>
      <c r="AE185" s="24">
        <f>IF(AQ185="7",BI185,0)</f>
        <v>0</v>
      </c>
      <c r="AF185" s="24">
        <f>IF(AQ185="2",BH185,0)</f>
        <v>0</v>
      </c>
      <c r="AG185" s="24">
        <f>IF(AQ185="2",BI185,0)</f>
        <v>0</v>
      </c>
      <c r="AH185" s="24">
        <f>IF(AQ185="0",BJ185,0)</f>
        <v>0</v>
      </c>
      <c r="AI185" s="10" t="s">
        <v>51</v>
      </c>
      <c r="AJ185" s="24">
        <f>IF(AN185=0,J185,0)</f>
        <v>0</v>
      </c>
      <c r="AK185" s="24">
        <f>IF(AN185=12,J185,0)</f>
        <v>0</v>
      </c>
      <c r="AL185" s="24">
        <f>IF(AN185=21,J185,0)</f>
        <v>0</v>
      </c>
      <c r="AN185" s="24">
        <v>21</v>
      </c>
      <c r="AO185" s="24">
        <f>G185*0</f>
        <v>0</v>
      </c>
      <c r="AP185" s="24">
        <f>G185*(1-0)</f>
        <v>0</v>
      </c>
      <c r="AQ185" s="26" t="s">
        <v>89</v>
      </c>
      <c r="AV185" s="24">
        <f>AW185+AX185</f>
        <v>0</v>
      </c>
      <c r="AW185" s="24">
        <f>F185*AO185</f>
        <v>0</v>
      </c>
      <c r="AX185" s="24">
        <f>F185*AP185</f>
        <v>0</v>
      </c>
      <c r="AY185" s="26" t="s">
        <v>362</v>
      </c>
      <c r="AZ185" s="26" t="s">
        <v>209</v>
      </c>
      <c r="BA185" s="10" t="s">
        <v>59</v>
      </c>
      <c r="BC185" s="24">
        <f>AW185+AX185</f>
        <v>0</v>
      </c>
      <c r="BD185" s="24">
        <f>G185/(100-BE185)*100</f>
        <v>0</v>
      </c>
      <c r="BE185" s="24">
        <v>0</v>
      </c>
      <c r="BF185" s="24">
        <f>185</f>
        <v>185</v>
      </c>
      <c r="BH185" s="24">
        <f>F185*AO185</f>
        <v>0</v>
      </c>
      <c r="BI185" s="24">
        <f>F185*AP185</f>
        <v>0</v>
      </c>
      <c r="BJ185" s="24">
        <f>F185*G185</f>
        <v>0</v>
      </c>
      <c r="BK185" s="24"/>
      <c r="BL185" s="24"/>
      <c r="BW185" s="24">
        <v>21</v>
      </c>
      <c r="BX185" s="4" t="s">
        <v>366</v>
      </c>
    </row>
    <row r="186" spans="1:76">
      <c r="A186" s="27"/>
      <c r="C186" s="28" t="s">
        <v>367</v>
      </c>
      <c r="D186" s="28" t="s">
        <v>51</v>
      </c>
      <c r="F186" s="29">
        <v>173.97200000000001</v>
      </c>
      <c r="K186" s="30"/>
    </row>
    <row r="187" spans="1:76">
      <c r="A187" s="2" t="s">
        <v>368</v>
      </c>
      <c r="B187" s="3" t="s">
        <v>369</v>
      </c>
      <c r="C187" s="73" t="s">
        <v>370</v>
      </c>
      <c r="D187" s="68"/>
      <c r="E187" s="3" t="s">
        <v>277</v>
      </c>
      <c r="F187" s="24">
        <v>173.97200000000001</v>
      </c>
      <c r="G187" s="24">
        <v>0</v>
      </c>
      <c r="H187" s="24">
        <f>F187*AO187</f>
        <v>0</v>
      </c>
      <c r="I187" s="24">
        <f>F187*AP187</f>
        <v>0</v>
      </c>
      <c r="J187" s="24">
        <f>F187*G187</f>
        <v>0</v>
      </c>
      <c r="K187" s="25" t="s">
        <v>67</v>
      </c>
      <c r="Z187" s="24">
        <f>IF(AQ187="5",BJ187,0)</f>
        <v>0</v>
      </c>
      <c r="AB187" s="24">
        <f>IF(AQ187="1",BH187,0)</f>
        <v>0</v>
      </c>
      <c r="AC187" s="24">
        <f>IF(AQ187="1",BI187,0)</f>
        <v>0</v>
      </c>
      <c r="AD187" s="24">
        <f>IF(AQ187="7",BH187,0)</f>
        <v>0</v>
      </c>
      <c r="AE187" s="24">
        <f>IF(AQ187="7",BI187,0)</f>
        <v>0</v>
      </c>
      <c r="AF187" s="24">
        <f>IF(AQ187="2",BH187,0)</f>
        <v>0</v>
      </c>
      <c r="AG187" s="24">
        <f>IF(AQ187="2",BI187,0)</f>
        <v>0</v>
      </c>
      <c r="AH187" s="24">
        <f>IF(AQ187="0",BJ187,0)</f>
        <v>0</v>
      </c>
      <c r="AI187" s="10" t="s">
        <v>51</v>
      </c>
      <c r="AJ187" s="24">
        <f>IF(AN187=0,J187,0)</f>
        <v>0</v>
      </c>
      <c r="AK187" s="24">
        <f>IF(AN187=12,J187,0)</f>
        <v>0</v>
      </c>
      <c r="AL187" s="24">
        <f>IF(AN187=21,J187,0)</f>
        <v>0</v>
      </c>
      <c r="AN187" s="24">
        <v>21</v>
      </c>
      <c r="AO187" s="24">
        <f>G187*0</f>
        <v>0</v>
      </c>
      <c r="AP187" s="24">
        <f>G187*(1-0)</f>
        <v>0</v>
      </c>
      <c r="AQ187" s="26" t="s">
        <v>89</v>
      </c>
      <c r="AV187" s="24">
        <f>AW187+AX187</f>
        <v>0</v>
      </c>
      <c r="AW187" s="24">
        <f>F187*AO187</f>
        <v>0</v>
      </c>
      <c r="AX187" s="24">
        <f>F187*AP187</f>
        <v>0</v>
      </c>
      <c r="AY187" s="26" t="s">
        <v>362</v>
      </c>
      <c r="AZ187" s="26" t="s">
        <v>209</v>
      </c>
      <c r="BA187" s="10" t="s">
        <v>59</v>
      </c>
      <c r="BC187" s="24">
        <f>AW187+AX187</f>
        <v>0</v>
      </c>
      <c r="BD187" s="24">
        <f>G187/(100-BE187)*100</f>
        <v>0</v>
      </c>
      <c r="BE187" s="24">
        <v>0</v>
      </c>
      <c r="BF187" s="24">
        <f>187</f>
        <v>187</v>
      </c>
      <c r="BH187" s="24">
        <f>F187*AO187</f>
        <v>0</v>
      </c>
      <c r="BI187" s="24">
        <f>F187*AP187</f>
        <v>0</v>
      </c>
      <c r="BJ187" s="24">
        <f>F187*G187</f>
        <v>0</v>
      </c>
      <c r="BK187" s="24"/>
      <c r="BL187" s="24"/>
      <c r="BW187" s="24">
        <v>21</v>
      </c>
      <c r="BX187" s="4" t="s">
        <v>370</v>
      </c>
    </row>
    <row r="188" spans="1:76">
      <c r="A188" s="27"/>
      <c r="C188" s="28" t="s">
        <v>371</v>
      </c>
      <c r="D188" s="28" t="s">
        <v>51</v>
      </c>
      <c r="F188" s="29">
        <v>173.97200000000001</v>
      </c>
      <c r="K188" s="30"/>
    </row>
    <row r="189" spans="1:76">
      <c r="A189" s="2" t="s">
        <v>372</v>
      </c>
      <c r="B189" s="3" t="s">
        <v>373</v>
      </c>
      <c r="C189" s="73" t="s">
        <v>374</v>
      </c>
      <c r="D189" s="68"/>
      <c r="E189" s="3" t="s">
        <v>277</v>
      </c>
      <c r="F189" s="24">
        <v>931.75825999999995</v>
      </c>
      <c r="G189" s="24">
        <v>0</v>
      </c>
      <c r="H189" s="24">
        <f>F189*AO189</f>
        <v>0</v>
      </c>
      <c r="I189" s="24">
        <f>F189*AP189</f>
        <v>0</v>
      </c>
      <c r="J189" s="24">
        <f>F189*G189</f>
        <v>0</v>
      </c>
      <c r="K189" s="25" t="s">
        <v>67</v>
      </c>
      <c r="Z189" s="24">
        <f>IF(AQ189="5",BJ189,0)</f>
        <v>0</v>
      </c>
      <c r="AB189" s="24">
        <f>IF(AQ189="1",BH189,0)</f>
        <v>0</v>
      </c>
      <c r="AC189" s="24">
        <f>IF(AQ189="1",BI189,0)</f>
        <v>0</v>
      </c>
      <c r="AD189" s="24">
        <f>IF(AQ189="7",BH189,0)</f>
        <v>0</v>
      </c>
      <c r="AE189" s="24">
        <f>IF(AQ189="7",BI189,0)</f>
        <v>0</v>
      </c>
      <c r="AF189" s="24">
        <f>IF(AQ189="2",BH189,0)</f>
        <v>0</v>
      </c>
      <c r="AG189" s="24">
        <f>IF(AQ189="2",BI189,0)</f>
        <v>0</v>
      </c>
      <c r="AH189" s="24">
        <f>IF(AQ189="0",BJ189,0)</f>
        <v>0</v>
      </c>
      <c r="AI189" s="10" t="s">
        <v>51</v>
      </c>
      <c r="AJ189" s="24">
        <f>IF(AN189=0,J189,0)</f>
        <v>0</v>
      </c>
      <c r="AK189" s="24">
        <f>IF(AN189=12,J189,0)</f>
        <v>0</v>
      </c>
      <c r="AL189" s="24">
        <f>IF(AN189=21,J189,0)</f>
        <v>0</v>
      </c>
      <c r="AN189" s="24">
        <v>21</v>
      </c>
      <c r="AO189" s="24">
        <f>G189*0</f>
        <v>0</v>
      </c>
      <c r="AP189" s="24">
        <f>G189*(1-0)</f>
        <v>0</v>
      </c>
      <c r="AQ189" s="26" t="s">
        <v>89</v>
      </c>
      <c r="AV189" s="24">
        <f>AW189+AX189</f>
        <v>0</v>
      </c>
      <c r="AW189" s="24">
        <f>F189*AO189</f>
        <v>0</v>
      </c>
      <c r="AX189" s="24">
        <f>F189*AP189</f>
        <v>0</v>
      </c>
      <c r="AY189" s="26" t="s">
        <v>362</v>
      </c>
      <c r="AZ189" s="26" t="s">
        <v>209</v>
      </c>
      <c r="BA189" s="10" t="s">
        <v>59</v>
      </c>
      <c r="BC189" s="24">
        <f>AW189+AX189</f>
        <v>0</v>
      </c>
      <c r="BD189" s="24">
        <f>G189/(100-BE189)*100</f>
        <v>0</v>
      </c>
      <c r="BE189" s="24">
        <v>0</v>
      </c>
      <c r="BF189" s="24">
        <f>189</f>
        <v>189</v>
      </c>
      <c r="BH189" s="24">
        <f>F189*AO189</f>
        <v>0</v>
      </c>
      <c r="BI189" s="24">
        <f>F189*AP189</f>
        <v>0</v>
      </c>
      <c r="BJ189" s="24">
        <f>F189*G189</f>
        <v>0</v>
      </c>
      <c r="BK189" s="24"/>
      <c r="BL189" s="24"/>
      <c r="BW189" s="24">
        <v>21</v>
      </c>
      <c r="BX189" s="4" t="s">
        <v>374</v>
      </c>
    </row>
    <row r="190" spans="1:76">
      <c r="A190" s="27"/>
      <c r="C190" s="28" t="s">
        <v>375</v>
      </c>
      <c r="D190" s="28" t="s">
        <v>51</v>
      </c>
      <c r="F190" s="29">
        <v>931.75825999999995</v>
      </c>
      <c r="K190" s="30"/>
    </row>
    <row r="191" spans="1:76">
      <c r="A191" s="2" t="s">
        <v>376</v>
      </c>
      <c r="B191" s="3" t="s">
        <v>377</v>
      </c>
      <c r="C191" s="73" t="s">
        <v>378</v>
      </c>
      <c r="D191" s="68"/>
      <c r="E191" s="3" t="s">
        <v>277</v>
      </c>
      <c r="F191" s="24">
        <v>931.75825999999995</v>
      </c>
      <c r="G191" s="24">
        <v>0</v>
      </c>
      <c r="H191" s="24">
        <f>F191*AO191</f>
        <v>0</v>
      </c>
      <c r="I191" s="24">
        <f>F191*AP191</f>
        <v>0</v>
      </c>
      <c r="J191" s="24">
        <f>F191*G191</f>
        <v>0</v>
      </c>
      <c r="K191" s="25" t="s">
        <v>67</v>
      </c>
      <c r="Z191" s="24">
        <f>IF(AQ191="5",BJ191,0)</f>
        <v>0</v>
      </c>
      <c r="AB191" s="24">
        <f>IF(AQ191="1",BH191,0)</f>
        <v>0</v>
      </c>
      <c r="AC191" s="24">
        <f>IF(AQ191="1",BI191,0)</f>
        <v>0</v>
      </c>
      <c r="AD191" s="24">
        <f>IF(AQ191="7",BH191,0)</f>
        <v>0</v>
      </c>
      <c r="AE191" s="24">
        <f>IF(AQ191="7",BI191,0)</f>
        <v>0</v>
      </c>
      <c r="AF191" s="24">
        <f>IF(AQ191="2",BH191,0)</f>
        <v>0</v>
      </c>
      <c r="AG191" s="24">
        <f>IF(AQ191="2",BI191,0)</f>
        <v>0</v>
      </c>
      <c r="AH191" s="24">
        <f>IF(AQ191="0",BJ191,0)</f>
        <v>0</v>
      </c>
      <c r="AI191" s="10" t="s">
        <v>51</v>
      </c>
      <c r="AJ191" s="24">
        <f>IF(AN191=0,J191,0)</f>
        <v>0</v>
      </c>
      <c r="AK191" s="24">
        <f>IF(AN191=12,J191,0)</f>
        <v>0</v>
      </c>
      <c r="AL191" s="24">
        <f>IF(AN191=21,J191,0)</f>
        <v>0</v>
      </c>
      <c r="AN191" s="24">
        <v>21</v>
      </c>
      <c r="AO191" s="24">
        <f>G191*0</f>
        <v>0</v>
      </c>
      <c r="AP191" s="24">
        <f>G191*(1-0)</f>
        <v>0</v>
      </c>
      <c r="AQ191" s="26" t="s">
        <v>89</v>
      </c>
      <c r="AV191" s="24">
        <f>AW191+AX191</f>
        <v>0</v>
      </c>
      <c r="AW191" s="24">
        <f>F191*AO191</f>
        <v>0</v>
      </c>
      <c r="AX191" s="24">
        <f>F191*AP191</f>
        <v>0</v>
      </c>
      <c r="AY191" s="26" t="s">
        <v>362</v>
      </c>
      <c r="AZ191" s="26" t="s">
        <v>209</v>
      </c>
      <c r="BA191" s="10" t="s">
        <v>59</v>
      </c>
      <c r="BC191" s="24">
        <f>AW191+AX191</f>
        <v>0</v>
      </c>
      <c r="BD191" s="24">
        <f>G191/(100-BE191)*100</f>
        <v>0</v>
      </c>
      <c r="BE191" s="24">
        <v>0</v>
      </c>
      <c r="BF191" s="24">
        <f>191</f>
        <v>191</v>
      </c>
      <c r="BH191" s="24">
        <f>F191*AO191</f>
        <v>0</v>
      </c>
      <c r="BI191" s="24">
        <f>F191*AP191</f>
        <v>0</v>
      </c>
      <c r="BJ191" s="24">
        <f>F191*G191</f>
        <v>0</v>
      </c>
      <c r="BK191" s="24"/>
      <c r="BL191" s="24"/>
      <c r="BW191" s="24">
        <v>21</v>
      </c>
      <c r="BX191" s="4" t="s">
        <v>378</v>
      </c>
    </row>
    <row r="192" spans="1:76">
      <c r="A192" s="27"/>
      <c r="C192" s="28" t="s">
        <v>379</v>
      </c>
      <c r="D192" s="28" t="s">
        <v>51</v>
      </c>
      <c r="F192" s="29">
        <v>931.75825999999995</v>
      </c>
      <c r="K192" s="30"/>
    </row>
    <row r="193" spans="1:76">
      <c r="A193" s="2" t="s">
        <v>380</v>
      </c>
      <c r="B193" s="3" t="s">
        <v>381</v>
      </c>
      <c r="C193" s="73" t="s">
        <v>382</v>
      </c>
      <c r="D193" s="68"/>
      <c r="E193" s="3" t="s">
        <v>277</v>
      </c>
      <c r="F193" s="24">
        <v>13044.61564</v>
      </c>
      <c r="G193" s="24">
        <v>0</v>
      </c>
      <c r="H193" s="24">
        <f>F193*AO193</f>
        <v>0</v>
      </c>
      <c r="I193" s="24">
        <f>F193*AP193</f>
        <v>0</v>
      </c>
      <c r="J193" s="24">
        <f>F193*G193</f>
        <v>0</v>
      </c>
      <c r="K193" s="25" t="s">
        <v>67</v>
      </c>
      <c r="Z193" s="24">
        <f>IF(AQ193="5",BJ193,0)</f>
        <v>0</v>
      </c>
      <c r="AB193" s="24">
        <f>IF(AQ193="1",BH193,0)</f>
        <v>0</v>
      </c>
      <c r="AC193" s="24">
        <f>IF(AQ193="1",BI193,0)</f>
        <v>0</v>
      </c>
      <c r="AD193" s="24">
        <f>IF(AQ193="7",BH193,0)</f>
        <v>0</v>
      </c>
      <c r="AE193" s="24">
        <f>IF(AQ193="7",BI193,0)</f>
        <v>0</v>
      </c>
      <c r="AF193" s="24">
        <f>IF(AQ193="2",BH193,0)</f>
        <v>0</v>
      </c>
      <c r="AG193" s="24">
        <f>IF(AQ193="2",BI193,0)</f>
        <v>0</v>
      </c>
      <c r="AH193" s="24">
        <f>IF(AQ193="0",BJ193,0)</f>
        <v>0</v>
      </c>
      <c r="AI193" s="10" t="s">
        <v>51</v>
      </c>
      <c r="AJ193" s="24">
        <f>IF(AN193=0,J193,0)</f>
        <v>0</v>
      </c>
      <c r="AK193" s="24">
        <f>IF(AN193=12,J193,0)</f>
        <v>0</v>
      </c>
      <c r="AL193" s="24">
        <f>IF(AN193=21,J193,0)</f>
        <v>0</v>
      </c>
      <c r="AN193" s="24">
        <v>21</v>
      </c>
      <c r="AO193" s="24">
        <f>G193*0</f>
        <v>0</v>
      </c>
      <c r="AP193" s="24">
        <f>G193*(1-0)</f>
        <v>0</v>
      </c>
      <c r="AQ193" s="26" t="s">
        <v>89</v>
      </c>
      <c r="AV193" s="24">
        <f>AW193+AX193</f>
        <v>0</v>
      </c>
      <c r="AW193" s="24">
        <f>F193*AO193</f>
        <v>0</v>
      </c>
      <c r="AX193" s="24">
        <f>F193*AP193</f>
        <v>0</v>
      </c>
      <c r="AY193" s="26" t="s">
        <v>362</v>
      </c>
      <c r="AZ193" s="26" t="s">
        <v>209</v>
      </c>
      <c r="BA193" s="10" t="s">
        <v>59</v>
      </c>
      <c r="BC193" s="24">
        <f>AW193+AX193</f>
        <v>0</v>
      </c>
      <c r="BD193" s="24">
        <f>G193/(100-BE193)*100</f>
        <v>0</v>
      </c>
      <c r="BE193" s="24">
        <v>0</v>
      </c>
      <c r="BF193" s="24">
        <f>193</f>
        <v>193</v>
      </c>
      <c r="BH193" s="24">
        <f>F193*AO193</f>
        <v>0</v>
      </c>
      <c r="BI193" s="24">
        <f>F193*AP193</f>
        <v>0</v>
      </c>
      <c r="BJ193" s="24">
        <f>F193*G193</f>
        <v>0</v>
      </c>
      <c r="BK193" s="24"/>
      <c r="BL193" s="24"/>
      <c r="BW193" s="24">
        <v>21</v>
      </c>
      <c r="BX193" s="4" t="s">
        <v>382</v>
      </c>
    </row>
    <row r="194" spans="1:76">
      <c r="A194" s="27"/>
      <c r="C194" s="28" t="s">
        <v>383</v>
      </c>
      <c r="D194" s="28" t="s">
        <v>51</v>
      </c>
      <c r="F194" s="29">
        <v>13044.61564</v>
      </c>
      <c r="K194" s="30"/>
    </row>
    <row r="195" spans="1:76">
      <c r="A195" s="2" t="s">
        <v>384</v>
      </c>
      <c r="B195" s="3" t="s">
        <v>385</v>
      </c>
      <c r="C195" s="73" t="s">
        <v>386</v>
      </c>
      <c r="D195" s="68"/>
      <c r="E195" s="3" t="s">
        <v>277</v>
      </c>
      <c r="F195" s="24">
        <v>14.03482</v>
      </c>
      <c r="G195" s="24">
        <v>0</v>
      </c>
      <c r="H195" s="24">
        <f>F195*AO195</f>
        <v>0</v>
      </c>
      <c r="I195" s="24">
        <f>F195*AP195</f>
        <v>0</v>
      </c>
      <c r="J195" s="24">
        <f>F195*G195</f>
        <v>0</v>
      </c>
      <c r="K195" s="25" t="s">
        <v>67</v>
      </c>
      <c r="Z195" s="24">
        <f>IF(AQ195="5",BJ195,0)</f>
        <v>0</v>
      </c>
      <c r="AB195" s="24">
        <f>IF(AQ195="1",BH195,0)</f>
        <v>0</v>
      </c>
      <c r="AC195" s="24">
        <f>IF(AQ195="1",BI195,0)</f>
        <v>0</v>
      </c>
      <c r="AD195" s="24">
        <f>IF(AQ195="7",BH195,0)</f>
        <v>0</v>
      </c>
      <c r="AE195" s="24">
        <f>IF(AQ195="7",BI195,0)</f>
        <v>0</v>
      </c>
      <c r="AF195" s="24">
        <f>IF(AQ195="2",BH195,0)</f>
        <v>0</v>
      </c>
      <c r="AG195" s="24">
        <f>IF(AQ195="2",BI195,0)</f>
        <v>0</v>
      </c>
      <c r="AH195" s="24">
        <f>IF(AQ195="0",BJ195,0)</f>
        <v>0</v>
      </c>
      <c r="AI195" s="10" t="s">
        <v>51</v>
      </c>
      <c r="AJ195" s="24">
        <f>IF(AN195=0,J195,0)</f>
        <v>0</v>
      </c>
      <c r="AK195" s="24">
        <f>IF(AN195=12,J195,0)</f>
        <v>0</v>
      </c>
      <c r="AL195" s="24">
        <f>IF(AN195=21,J195,0)</f>
        <v>0</v>
      </c>
      <c r="AN195" s="24">
        <v>21</v>
      </c>
      <c r="AO195" s="24">
        <f>G195*0</f>
        <v>0</v>
      </c>
      <c r="AP195" s="24">
        <f>G195*(1-0)</f>
        <v>0</v>
      </c>
      <c r="AQ195" s="26" t="s">
        <v>89</v>
      </c>
      <c r="AV195" s="24">
        <f>AW195+AX195</f>
        <v>0</v>
      </c>
      <c r="AW195" s="24">
        <f>F195*AO195</f>
        <v>0</v>
      </c>
      <c r="AX195" s="24">
        <f>F195*AP195</f>
        <v>0</v>
      </c>
      <c r="AY195" s="26" t="s">
        <v>362</v>
      </c>
      <c r="AZ195" s="26" t="s">
        <v>209</v>
      </c>
      <c r="BA195" s="10" t="s">
        <v>59</v>
      </c>
      <c r="BC195" s="24">
        <f>AW195+AX195</f>
        <v>0</v>
      </c>
      <c r="BD195" s="24">
        <f>G195/(100-BE195)*100</f>
        <v>0</v>
      </c>
      <c r="BE195" s="24">
        <v>0</v>
      </c>
      <c r="BF195" s="24">
        <f>195</f>
        <v>195</v>
      </c>
      <c r="BH195" s="24">
        <f>F195*AO195</f>
        <v>0</v>
      </c>
      <c r="BI195" s="24">
        <f>F195*AP195</f>
        <v>0</v>
      </c>
      <c r="BJ195" s="24">
        <f>F195*G195</f>
        <v>0</v>
      </c>
      <c r="BK195" s="24"/>
      <c r="BL195" s="24"/>
      <c r="BW195" s="24">
        <v>21</v>
      </c>
      <c r="BX195" s="4" t="s">
        <v>386</v>
      </c>
    </row>
    <row r="196" spans="1:76">
      <c r="A196" s="27"/>
      <c r="C196" s="28" t="s">
        <v>387</v>
      </c>
      <c r="D196" s="28" t="s">
        <v>51</v>
      </c>
      <c r="F196" s="29">
        <v>14.03482</v>
      </c>
      <c r="K196" s="30"/>
    </row>
    <row r="197" spans="1:76">
      <c r="A197" s="2" t="s">
        <v>388</v>
      </c>
      <c r="B197" s="3" t="s">
        <v>389</v>
      </c>
      <c r="C197" s="73" t="s">
        <v>390</v>
      </c>
      <c r="D197" s="68"/>
      <c r="E197" s="3" t="s">
        <v>277</v>
      </c>
      <c r="F197" s="24">
        <v>0.32577</v>
      </c>
      <c r="G197" s="24">
        <v>0</v>
      </c>
      <c r="H197" s="24">
        <f>F197*AO197</f>
        <v>0</v>
      </c>
      <c r="I197" s="24">
        <f>F197*AP197</f>
        <v>0</v>
      </c>
      <c r="J197" s="24">
        <f>F197*G197</f>
        <v>0</v>
      </c>
      <c r="K197" s="25" t="s">
        <v>67</v>
      </c>
      <c r="Z197" s="24">
        <f>IF(AQ197="5",BJ197,0)</f>
        <v>0</v>
      </c>
      <c r="AB197" s="24">
        <f>IF(AQ197="1",BH197,0)</f>
        <v>0</v>
      </c>
      <c r="AC197" s="24">
        <f>IF(AQ197="1",BI197,0)</f>
        <v>0</v>
      </c>
      <c r="AD197" s="24">
        <f>IF(AQ197="7",BH197,0)</f>
        <v>0</v>
      </c>
      <c r="AE197" s="24">
        <f>IF(AQ197="7",BI197,0)</f>
        <v>0</v>
      </c>
      <c r="AF197" s="24">
        <f>IF(AQ197="2",BH197,0)</f>
        <v>0</v>
      </c>
      <c r="AG197" s="24">
        <f>IF(AQ197="2",BI197,0)</f>
        <v>0</v>
      </c>
      <c r="AH197" s="24">
        <f>IF(AQ197="0",BJ197,0)</f>
        <v>0</v>
      </c>
      <c r="AI197" s="10" t="s">
        <v>51</v>
      </c>
      <c r="AJ197" s="24">
        <f>IF(AN197=0,J197,0)</f>
        <v>0</v>
      </c>
      <c r="AK197" s="24">
        <f>IF(AN197=12,J197,0)</f>
        <v>0</v>
      </c>
      <c r="AL197" s="24">
        <f>IF(AN197=21,J197,0)</f>
        <v>0</v>
      </c>
      <c r="AN197" s="24">
        <v>21</v>
      </c>
      <c r="AO197" s="24">
        <f>G197*0</f>
        <v>0</v>
      </c>
      <c r="AP197" s="24">
        <f>G197*(1-0)</f>
        <v>0</v>
      </c>
      <c r="AQ197" s="26" t="s">
        <v>89</v>
      </c>
      <c r="AV197" s="24">
        <f>AW197+AX197</f>
        <v>0</v>
      </c>
      <c r="AW197" s="24">
        <f>F197*AO197</f>
        <v>0</v>
      </c>
      <c r="AX197" s="24">
        <f>F197*AP197</f>
        <v>0</v>
      </c>
      <c r="AY197" s="26" t="s">
        <v>362</v>
      </c>
      <c r="AZ197" s="26" t="s">
        <v>209</v>
      </c>
      <c r="BA197" s="10" t="s">
        <v>59</v>
      </c>
      <c r="BC197" s="24">
        <f>AW197+AX197</f>
        <v>0</v>
      </c>
      <c r="BD197" s="24">
        <f>G197/(100-BE197)*100</f>
        <v>0</v>
      </c>
      <c r="BE197" s="24">
        <v>0</v>
      </c>
      <c r="BF197" s="24">
        <f>197</f>
        <v>197</v>
      </c>
      <c r="BH197" s="24">
        <f>F197*AO197</f>
        <v>0</v>
      </c>
      <c r="BI197" s="24">
        <f>F197*AP197</f>
        <v>0</v>
      </c>
      <c r="BJ197" s="24">
        <f>F197*G197</f>
        <v>0</v>
      </c>
      <c r="BK197" s="24"/>
      <c r="BL197" s="24"/>
      <c r="BW197" s="24">
        <v>21</v>
      </c>
      <c r="BX197" s="4" t="s">
        <v>390</v>
      </c>
    </row>
    <row r="198" spans="1:76">
      <c r="A198" s="27"/>
      <c r="C198" s="28" t="s">
        <v>391</v>
      </c>
      <c r="D198" s="28" t="s">
        <v>51</v>
      </c>
      <c r="F198" s="29">
        <v>0.32577</v>
      </c>
      <c r="K198" s="30"/>
    </row>
    <row r="199" spans="1:76">
      <c r="A199" s="2" t="s">
        <v>392</v>
      </c>
      <c r="B199" s="3" t="s">
        <v>393</v>
      </c>
      <c r="C199" s="73" t="s">
        <v>394</v>
      </c>
      <c r="D199" s="68"/>
      <c r="E199" s="3" t="s">
        <v>277</v>
      </c>
      <c r="F199" s="24">
        <v>1.9423299999999999</v>
      </c>
      <c r="G199" s="24">
        <v>0</v>
      </c>
      <c r="H199" s="24">
        <f>F199*AO199</f>
        <v>0</v>
      </c>
      <c r="I199" s="24">
        <f>F199*AP199</f>
        <v>0</v>
      </c>
      <c r="J199" s="24">
        <f>F199*G199</f>
        <v>0</v>
      </c>
      <c r="K199" s="25" t="s">
        <v>67</v>
      </c>
      <c r="Z199" s="24">
        <f>IF(AQ199="5",BJ199,0)</f>
        <v>0</v>
      </c>
      <c r="AB199" s="24">
        <f>IF(AQ199="1",BH199,0)</f>
        <v>0</v>
      </c>
      <c r="AC199" s="24">
        <f>IF(AQ199="1",BI199,0)</f>
        <v>0</v>
      </c>
      <c r="AD199" s="24">
        <f>IF(AQ199="7",BH199,0)</f>
        <v>0</v>
      </c>
      <c r="AE199" s="24">
        <f>IF(AQ199="7",BI199,0)</f>
        <v>0</v>
      </c>
      <c r="AF199" s="24">
        <f>IF(AQ199="2",BH199,0)</f>
        <v>0</v>
      </c>
      <c r="AG199" s="24">
        <f>IF(AQ199="2",BI199,0)</f>
        <v>0</v>
      </c>
      <c r="AH199" s="24">
        <f>IF(AQ199="0",BJ199,0)</f>
        <v>0</v>
      </c>
      <c r="AI199" s="10" t="s">
        <v>51</v>
      </c>
      <c r="AJ199" s="24">
        <f>IF(AN199=0,J199,0)</f>
        <v>0</v>
      </c>
      <c r="AK199" s="24">
        <f>IF(AN199=12,J199,0)</f>
        <v>0</v>
      </c>
      <c r="AL199" s="24">
        <f>IF(AN199=21,J199,0)</f>
        <v>0</v>
      </c>
      <c r="AN199" s="24">
        <v>21</v>
      </c>
      <c r="AO199" s="24">
        <f>G199*0</f>
        <v>0</v>
      </c>
      <c r="AP199" s="24">
        <f>G199*(1-0)</f>
        <v>0</v>
      </c>
      <c r="AQ199" s="26" t="s">
        <v>89</v>
      </c>
      <c r="AV199" s="24">
        <f>AW199+AX199</f>
        <v>0</v>
      </c>
      <c r="AW199" s="24">
        <f>F199*AO199</f>
        <v>0</v>
      </c>
      <c r="AX199" s="24">
        <f>F199*AP199</f>
        <v>0</v>
      </c>
      <c r="AY199" s="26" t="s">
        <v>362</v>
      </c>
      <c r="AZ199" s="26" t="s">
        <v>209</v>
      </c>
      <c r="BA199" s="10" t="s">
        <v>59</v>
      </c>
      <c r="BC199" s="24">
        <f>AW199+AX199</f>
        <v>0</v>
      </c>
      <c r="BD199" s="24">
        <f>G199/(100-BE199)*100</f>
        <v>0</v>
      </c>
      <c r="BE199" s="24">
        <v>0</v>
      </c>
      <c r="BF199" s="24">
        <f>199</f>
        <v>199</v>
      </c>
      <c r="BH199" s="24">
        <f>F199*AO199</f>
        <v>0</v>
      </c>
      <c r="BI199" s="24">
        <f>F199*AP199</f>
        <v>0</v>
      </c>
      <c r="BJ199" s="24">
        <f>F199*G199</f>
        <v>0</v>
      </c>
      <c r="BK199" s="24"/>
      <c r="BL199" s="24"/>
      <c r="BW199" s="24">
        <v>21</v>
      </c>
      <c r="BX199" s="4" t="s">
        <v>394</v>
      </c>
    </row>
    <row r="200" spans="1:76">
      <c r="A200" s="27"/>
      <c r="C200" s="28" t="s">
        <v>395</v>
      </c>
      <c r="D200" s="28" t="s">
        <v>51</v>
      </c>
      <c r="F200" s="29">
        <v>1.9423299999999999</v>
      </c>
      <c r="K200" s="30"/>
    </row>
    <row r="201" spans="1:76">
      <c r="A201" s="2" t="s">
        <v>396</v>
      </c>
      <c r="B201" s="3" t="s">
        <v>397</v>
      </c>
      <c r="C201" s="73" t="s">
        <v>398</v>
      </c>
      <c r="D201" s="68"/>
      <c r="E201" s="3" t="s">
        <v>277</v>
      </c>
      <c r="F201" s="24">
        <v>5.4952300000000003</v>
      </c>
      <c r="G201" s="24">
        <v>0</v>
      </c>
      <c r="H201" s="24">
        <f>F201*AO201</f>
        <v>0</v>
      </c>
      <c r="I201" s="24">
        <f>F201*AP201</f>
        <v>0</v>
      </c>
      <c r="J201" s="24">
        <f>F201*G201</f>
        <v>0</v>
      </c>
      <c r="K201" s="25" t="s">
        <v>67</v>
      </c>
      <c r="Z201" s="24">
        <f>IF(AQ201="5",BJ201,0)</f>
        <v>0</v>
      </c>
      <c r="AB201" s="24">
        <f>IF(AQ201="1",BH201,0)</f>
        <v>0</v>
      </c>
      <c r="AC201" s="24">
        <f>IF(AQ201="1",BI201,0)</f>
        <v>0</v>
      </c>
      <c r="AD201" s="24">
        <f>IF(AQ201="7",BH201,0)</f>
        <v>0</v>
      </c>
      <c r="AE201" s="24">
        <f>IF(AQ201="7",BI201,0)</f>
        <v>0</v>
      </c>
      <c r="AF201" s="24">
        <f>IF(AQ201="2",BH201,0)</f>
        <v>0</v>
      </c>
      <c r="AG201" s="24">
        <f>IF(AQ201="2",BI201,0)</f>
        <v>0</v>
      </c>
      <c r="AH201" s="24">
        <f>IF(AQ201="0",BJ201,0)</f>
        <v>0</v>
      </c>
      <c r="AI201" s="10" t="s">
        <v>51</v>
      </c>
      <c r="AJ201" s="24">
        <f>IF(AN201=0,J201,0)</f>
        <v>0</v>
      </c>
      <c r="AK201" s="24">
        <f>IF(AN201=12,J201,0)</f>
        <v>0</v>
      </c>
      <c r="AL201" s="24">
        <f>IF(AN201=21,J201,0)</f>
        <v>0</v>
      </c>
      <c r="AN201" s="24">
        <v>21</v>
      </c>
      <c r="AO201" s="24">
        <f>G201*0</f>
        <v>0</v>
      </c>
      <c r="AP201" s="24">
        <f>G201*(1-0)</f>
        <v>0</v>
      </c>
      <c r="AQ201" s="26" t="s">
        <v>89</v>
      </c>
      <c r="AV201" s="24">
        <f>AW201+AX201</f>
        <v>0</v>
      </c>
      <c r="AW201" s="24">
        <f>F201*AO201</f>
        <v>0</v>
      </c>
      <c r="AX201" s="24">
        <f>F201*AP201</f>
        <v>0</v>
      </c>
      <c r="AY201" s="26" t="s">
        <v>362</v>
      </c>
      <c r="AZ201" s="26" t="s">
        <v>209</v>
      </c>
      <c r="BA201" s="10" t="s">
        <v>59</v>
      </c>
      <c r="BC201" s="24">
        <f>AW201+AX201</f>
        <v>0</v>
      </c>
      <c r="BD201" s="24">
        <f>G201/(100-BE201)*100</f>
        <v>0</v>
      </c>
      <c r="BE201" s="24">
        <v>0</v>
      </c>
      <c r="BF201" s="24">
        <f>201</f>
        <v>201</v>
      </c>
      <c r="BH201" s="24">
        <f>F201*AO201</f>
        <v>0</v>
      </c>
      <c r="BI201" s="24">
        <f>F201*AP201</f>
        <v>0</v>
      </c>
      <c r="BJ201" s="24">
        <f>F201*G201</f>
        <v>0</v>
      </c>
      <c r="BK201" s="24"/>
      <c r="BL201" s="24"/>
      <c r="BW201" s="24">
        <v>21</v>
      </c>
      <c r="BX201" s="4" t="s">
        <v>398</v>
      </c>
    </row>
    <row r="202" spans="1:76">
      <c r="A202" s="27"/>
      <c r="C202" s="28" t="s">
        <v>399</v>
      </c>
      <c r="D202" s="28" t="s">
        <v>51</v>
      </c>
      <c r="F202" s="29">
        <v>5.4952300000000003</v>
      </c>
      <c r="K202" s="30"/>
    </row>
    <row r="203" spans="1:76">
      <c r="A203" s="2" t="s">
        <v>400</v>
      </c>
      <c r="B203" s="3" t="s">
        <v>401</v>
      </c>
      <c r="C203" s="73" t="s">
        <v>402</v>
      </c>
      <c r="D203" s="68"/>
      <c r="E203" s="3" t="s">
        <v>277</v>
      </c>
      <c r="F203" s="24">
        <v>21.49691</v>
      </c>
      <c r="G203" s="24">
        <v>0</v>
      </c>
      <c r="H203" s="24">
        <f>F203*AO203</f>
        <v>0</v>
      </c>
      <c r="I203" s="24">
        <f>F203*AP203</f>
        <v>0</v>
      </c>
      <c r="J203" s="24">
        <f>F203*G203</f>
        <v>0</v>
      </c>
      <c r="K203" s="25" t="s">
        <v>67</v>
      </c>
      <c r="Z203" s="24">
        <f>IF(AQ203="5",BJ203,0)</f>
        <v>0</v>
      </c>
      <c r="AB203" s="24">
        <f>IF(AQ203="1",BH203,0)</f>
        <v>0</v>
      </c>
      <c r="AC203" s="24">
        <f>IF(AQ203="1",BI203,0)</f>
        <v>0</v>
      </c>
      <c r="AD203" s="24">
        <f>IF(AQ203="7",BH203,0)</f>
        <v>0</v>
      </c>
      <c r="AE203" s="24">
        <f>IF(AQ203="7",BI203,0)</f>
        <v>0</v>
      </c>
      <c r="AF203" s="24">
        <f>IF(AQ203="2",BH203,0)</f>
        <v>0</v>
      </c>
      <c r="AG203" s="24">
        <f>IF(AQ203="2",BI203,0)</f>
        <v>0</v>
      </c>
      <c r="AH203" s="24">
        <f>IF(AQ203="0",BJ203,0)</f>
        <v>0</v>
      </c>
      <c r="AI203" s="10" t="s">
        <v>51</v>
      </c>
      <c r="AJ203" s="24">
        <f>IF(AN203=0,J203,0)</f>
        <v>0</v>
      </c>
      <c r="AK203" s="24">
        <f>IF(AN203=12,J203,0)</f>
        <v>0</v>
      </c>
      <c r="AL203" s="24">
        <f>IF(AN203=21,J203,0)</f>
        <v>0</v>
      </c>
      <c r="AN203" s="24">
        <v>21</v>
      </c>
      <c r="AO203" s="24">
        <f>G203*0</f>
        <v>0</v>
      </c>
      <c r="AP203" s="24">
        <f>G203*(1-0)</f>
        <v>0</v>
      </c>
      <c r="AQ203" s="26" t="s">
        <v>89</v>
      </c>
      <c r="AV203" s="24">
        <f>AW203+AX203</f>
        <v>0</v>
      </c>
      <c r="AW203" s="24">
        <f>F203*AO203</f>
        <v>0</v>
      </c>
      <c r="AX203" s="24">
        <f>F203*AP203</f>
        <v>0</v>
      </c>
      <c r="AY203" s="26" t="s">
        <v>362</v>
      </c>
      <c r="AZ203" s="26" t="s">
        <v>209</v>
      </c>
      <c r="BA203" s="10" t="s">
        <v>59</v>
      </c>
      <c r="BC203" s="24">
        <f>AW203+AX203</f>
        <v>0</v>
      </c>
      <c r="BD203" s="24">
        <f>G203/(100-BE203)*100</f>
        <v>0</v>
      </c>
      <c r="BE203" s="24">
        <v>0</v>
      </c>
      <c r="BF203" s="24">
        <f>203</f>
        <v>203</v>
      </c>
      <c r="BH203" s="24">
        <f>F203*AO203</f>
        <v>0</v>
      </c>
      <c r="BI203" s="24">
        <f>F203*AP203</f>
        <v>0</v>
      </c>
      <c r="BJ203" s="24">
        <f>F203*G203</f>
        <v>0</v>
      </c>
      <c r="BK203" s="24"/>
      <c r="BL203" s="24"/>
      <c r="BW203" s="24">
        <v>21</v>
      </c>
      <c r="BX203" s="4" t="s">
        <v>402</v>
      </c>
    </row>
    <row r="204" spans="1:76">
      <c r="A204" s="27"/>
      <c r="C204" s="28" t="s">
        <v>403</v>
      </c>
      <c r="D204" s="28" t="s">
        <v>51</v>
      </c>
      <c r="F204" s="29">
        <v>21.49691</v>
      </c>
      <c r="K204" s="30"/>
    </row>
    <row r="205" spans="1:76">
      <c r="A205" s="2" t="s">
        <v>404</v>
      </c>
      <c r="B205" s="3" t="s">
        <v>405</v>
      </c>
      <c r="C205" s="73" t="s">
        <v>406</v>
      </c>
      <c r="D205" s="68"/>
      <c r="E205" s="3" t="s">
        <v>277</v>
      </c>
      <c r="F205" s="24">
        <v>0.14779999999999999</v>
      </c>
      <c r="G205" s="24">
        <v>0</v>
      </c>
      <c r="H205" s="24">
        <f>F205*AO205</f>
        <v>0</v>
      </c>
      <c r="I205" s="24">
        <f>F205*AP205</f>
        <v>0</v>
      </c>
      <c r="J205" s="24">
        <f>F205*G205</f>
        <v>0</v>
      </c>
      <c r="K205" s="25" t="s">
        <v>67</v>
      </c>
      <c r="Z205" s="24">
        <f>IF(AQ205="5",BJ205,0)</f>
        <v>0</v>
      </c>
      <c r="AB205" s="24">
        <f>IF(AQ205="1",BH205,0)</f>
        <v>0</v>
      </c>
      <c r="AC205" s="24">
        <f>IF(AQ205="1",BI205,0)</f>
        <v>0</v>
      </c>
      <c r="AD205" s="24">
        <f>IF(AQ205="7",BH205,0)</f>
        <v>0</v>
      </c>
      <c r="AE205" s="24">
        <f>IF(AQ205="7",BI205,0)</f>
        <v>0</v>
      </c>
      <c r="AF205" s="24">
        <f>IF(AQ205="2",BH205,0)</f>
        <v>0</v>
      </c>
      <c r="AG205" s="24">
        <f>IF(AQ205="2",BI205,0)</f>
        <v>0</v>
      </c>
      <c r="AH205" s="24">
        <f>IF(AQ205="0",BJ205,0)</f>
        <v>0</v>
      </c>
      <c r="AI205" s="10" t="s">
        <v>51</v>
      </c>
      <c r="AJ205" s="24">
        <f>IF(AN205=0,J205,0)</f>
        <v>0</v>
      </c>
      <c r="AK205" s="24">
        <f>IF(AN205=12,J205,0)</f>
        <v>0</v>
      </c>
      <c r="AL205" s="24">
        <f>IF(AN205=21,J205,0)</f>
        <v>0</v>
      </c>
      <c r="AN205" s="24">
        <v>21</v>
      </c>
      <c r="AO205" s="24">
        <f>G205*0</f>
        <v>0</v>
      </c>
      <c r="AP205" s="24">
        <f>G205*(1-0)</f>
        <v>0</v>
      </c>
      <c r="AQ205" s="26" t="s">
        <v>89</v>
      </c>
      <c r="AV205" s="24">
        <f>AW205+AX205</f>
        <v>0</v>
      </c>
      <c r="AW205" s="24">
        <f>F205*AO205</f>
        <v>0</v>
      </c>
      <c r="AX205" s="24">
        <f>F205*AP205</f>
        <v>0</v>
      </c>
      <c r="AY205" s="26" t="s">
        <v>362</v>
      </c>
      <c r="AZ205" s="26" t="s">
        <v>209</v>
      </c>
      <c r="BA205" s="10" t="s">
        <v>59</v>
      </c>
      <c r="BC205" s="24">
        <f>AW205+AX205</f>
        <v>0</v>
      </c>
      <c r="BD205" s="24">
        <f>G205/(100-BE205)*100</f>
        <v>0</v>
      </c>
      <c r="BE205" s="24">
        <v>0</v>
      </c>
      <c r="BF205" s="24">
        <f>205</f>
        <v>205</v>
      </c>
      <c r="BH205" s="24">
        <f>F205*AO205</f>
        <v>0</v>
      </c>
      <c r="BI205" s="24">
        <f>F205*AP205</f>
        <v>0</v>
      </c>
      <c r="BJ205" s="24">
        <f>F205*G205</f>
        <v>0</v>
      </c>
      <c r="BK205" s="24"/>
      <c r="BL205" s="24"/>
      <c r="BW205" s="24">
        <v>21</v>
      </c>
      <c r="BX205" s="4" t="s">
        <v>406</v>
      </c>
    </row>
    <row r="206" spans="1:76">
      <c r="A206" s="27"/>
      <c r="C206" s="28" t="s">
        <v>407</v>
      </c>
      <c r="D206" s="28" t="s">
        <v>51</v>
      </c>
      <c r="F206" s="29">
        <v>0.14779999999999999</v>
      </c>
      <c r="K206" s="30"/>
    </row>
    <row r="207" spans="1:76">
      <c r="A207" s="2" t="s">
        <v>408</v>
      </c>
      <c r="B207" s="3" t="s">
        <v>409</v>
      </c>
      <c r="C207" s="73" t="s">
        <v>410</v>
      </c>
      <c r="D207" s="68"/>
      <c r="E207" s="3" t="s">
        <v>277</v>
      </c>
      <c r="F207" s="24">
        <v>7.9100000000000004E-2</v>
      </c>
      <c r="G207" s="24">
        <v>0</v>
      </c>
      <c r="H207" s="24">
        <f>F207*AO207</f>
        <v>0</v>
      </c>
      <c r="I207" s="24">
        <f>F207*AP207</f>
        <v>0</v>
      </c>
      <c r="J207" s="24">
        <f>F207*G207</f>
        <v>0</v>
      </c>
      <c r="K207" s="25" t="s">
        <v>67</v>
      </c>
      <c r="Z207" s="24">
        <f>IF(AQ207="5",BJ207,0)</f>
        <v>0</v>
      </c>
      <c r="AB207" s="24">
        <f>IF(AQ207="1",BH207,0)</f>
        <v>0</v>
      </c>
      <c r="AC207" s="24">
        <f>IF(AQ207="1",BI207,0)</f>
        <v>0</v>
      </c>
      <c r="AD207" s="24">
        <f>IF(AQ207="7",BH207,0)</f>
        <v>0</v>
      </c>
      <c r="AE207" s="24">
        <f>IF(AQ207="7",BI207,0)</f>
        <v>0</v>
      </c>
      <c r="AF207" s="24">
        <f>IF(AQ207="2",BH207,0)</f>
        <v>0</v>
      </c>
      <c r="AG207" s="24">
        <f>IF(AQ207="2",BI207,0)</f>
        <v>0</v>
      </c>
      <c r="AH207" s="24">
        <f>IF(AQ207="0",BJ207,0)</f>
        <v>0</v>
      </c>
      <c r="AI207" s="10" t="s">
        <v>51</v>
      </c>
      <c r="AJ207" s="24">
        <f>IF(AN207=0,J207,0)</f>
        <v>0</v>
      </c>
      <c r="AK207" s="24">
        <f>IF(AN207=12,J207,0)</f>
        <v>0</v>
      </c>
      <c r="AL207" s="24">
        <f>IF(AN207=21,J207,0)</f>
        <v>0</v>
      </c>
      <c r="AN207" s="24">
        <v>21</v>
      </c>
      <c r="AO207" s="24">
        <f>G207*0</f>
        <v>0</v>
      </c>
      <c r="AP207" s="24">
        <f>G207*(1-0)</f>
        <v>0</v>
      </c>
      <c r="AQ207" s="26" t="s">
        <v>89</v>
      </c>
      <c r="AV207" s="24">
        <f>AW207+AX207</f>
        <v>0</v>
      </c>
      <c r="AW207" s="24">
        <f>F207*AO207</f>
        <v>0</v>
      </c>
      <c r="AX207" s="24">
        <f>F207*AP207</f>
        <v>0</v>
      </c>
      <c r="AY207" s="26" t="s">
        <v>362</v>
      </c>
      <c r="AZ207" s="26" t="s">
        <v>209</v>
      </c>
      <c r="BA207" s="10" t="s">
        <v>59</v>
      </c>
      <c r="BC207" s="24">
        <f>AW207+AX207</f>
        <v>0</v>
      </c>
      <c r="BD207" s="24">
        <f>G207/(100-BE207)*100</f>
        <v>0</v>
      </c>
      <c r="BE207" s="24">
        <v>0</v>
      </c>
      <c r="BF207" s="24">
        <f>207</f>
        <v>207</v>
      </c>
      <c r="BH207" s="24">
        <f>F207*AO207</f>
        <v>0</v>
      </c>
      <c r="BI207" s="24">
        <f>F207*AP207</f>
        <v>0</v>
      </c>
      <c r="BJ207" s="24">
        <f>F207*G207</f>
        <v>0</v>
      </c>
      <c r="BK207" s="24"/>
      <c r="BL207" s="24"/>
      <c r="BW207" s="24">
        <v>21</v>
      </c>
      <c r="BX207" s="4" t="s">
        <v>410</v>
      </c>
    </row>
    <row r="208" spans="1:76">
      <c r="A208" s="27"/>
      <c r="C208" s="28" t="s">
        <v>411</v>
      </c>
      <c r="D208" s="28" t="s">
        <v>51</v>
      </c>
      <c r="F208" s="29">
        <v>7.9100000000000004E-2</v>
      </c>
      <c r="K208" s="30"/>
    </row>
    <row r="209" spans="1:76">
      <c r="A209" s="2" t="s">
        <v>412</v>
      </c>
      <c r="B209" s="3" t="s">
        <v>413</v>
      </c>
      <c r="C209" s="73" t="s">
        <v>414</v>
      </c>
      <c r="D209" s="68"/>
      <c r="E209" s="3" t="s">
        <v>277</v>
      </c>
      <c r="F209" s="24">
        <v>3.7208999999999999</v>
      </c>
      <c r="G209" s="24">
        <v>0</v>
      </c>
      <c r="H209" s="24">
        <f>F209*AO209</f>
        <v>0</v>
      </c>
      <c r="I209" s="24">
        <f>F209*AP209</f>
        <v>0</v>
      </c>
      <c r="J209" s="24">
        <f>F209*G209</f>
        <v>0</v>
      </c>
      <c r="K209" s="25" t="s">
        <v>67</v>
      </c>
      <c r="Z209" s="24">
        <f>IF(AQ209="5",BJ209,0)</f>
        <v>0</v>
      </c>
      <c r="AB209" s="24">
        <f>IF(AQ209="1",BH209,0)</f>
        <v>0</v>
      </c>
      <c r="AC209" s="24">
        <f>IF(AQ209="1",BI209,0)</f>
        <v>0</v>
      </c>
      <c r="AD209" s="24">
        <f>IF(AQ209="7",BH209,0)</f>
        <v>0</v>
      </c>
      <c r="AE209" s="24">
        <f>IF(AQ209="7",BI209,0)</f>
        <v>0</v>
      </c>
      <c r="AF209" s="24">
        <f>IF(AQ209="2",BH209,0)</f>
        <v>0</v>
      </c>
      <c r="AG209" s="24">
        <f>IF(AQ209="2",BI209,0)</f>
        <v>0</v>
      </c>
      <c r="AH209" s="24">
        <f>IF(AQ209="0",BJ209,0)</f>
        <v>0</v>
      </c>
      <c r="AI209" s="10" t="s">
        <v>51</v>
      </c>
      <c r="AJ209" s="24">
        <f>IF(AN209=0,J209,0)</f>
        <v>0</v>
      </c>
      <c r="AK209" s="24">
        <f>IF(AN209=12,J209,0)</f>
        <v>0</v>
      </c>
      <c r="AL209" s="24">
        <f>IF(AN209=21,J209,0)</f>
        <v>0</v>
      </c>
      <c r="AN209" s="24">
        <v>21</v>
      </c>
      <c r="AO209" s="24">
        <f>G209*0</f>
        <v>0</v>
      </c>
      <c r="AP209" s="24">
        <f>G209*(1-0)</f>
        <v>0</v>
      </c>
      <c r="AQ209" s="26" t="s">
        <v>89</v>
      </c>
      <c r="AV209" s="24">
        <f>AW209+AX209</f>
        <v>0</v>
      </c>
      <c r="AW209" s="24">
        <f>F209*AO209</f>
        <v>0</v>
      </c>
      <c r="AX209" s="24">
        <f>F209*AP209</f>
        <v>0</v>
      </c>
      <c r="AY209" s="26" t="s">
        <v>362</v>
      </c>
      <c r="AZ209" s="26" t="s">
        <v>209</v>
      </c>
      <c r="BA209" s="10" t="s">
        <v>59</v>
      </c>
      <c r="BC209" s="24">
        <f>AW209+AX209</f>
        <v>0</v>
      </c>
      <c r="BD209" s="24">
        <f>G209/(100-BE209)*100</f>
        <v>0</v>
      </c>
      <c r="BE209" s="24">
        <v>0</v>
      </c>
      <c r="BF209" s="24">
        <f>209</f>
        <v>209</v>
      </c>
      <c r="BH209" s="24">
        <f>F209*AO209</f>
        <v>0</v>
      </c>
      <c r="BI209" s="24">
        <f>F209*AP209</f>
        <v>0</v>
      </c>
      <c r="BJ209" s="24">
        <f>F209*G209</f>
        <v>0</v>
      </c>
      <c r="BK209" s="24"/>
      <c r="BL209" s="24"/>
      <c r="BW209" s="24">
        <v>21</v>
      </c>
      <c r="BX209" s="4" t="s">
        <v>414</v>
      </c>
    </row>
    <row r="210" spans="1:76">
      <c r="A210" s="27"/>
      <c r="C210" s="28" t="s">
        <v>415</v>
      </c>
      <c r="D210" s="28" t="s">
        <v>51</v>
      </c>
      <c r="F210" s="29">
        <v>3.7208999999999999</v>
      </c>
      <c r="K210" s="30"/>
    </row>
    <row r="211" spans="1:76">
      <c r="A211" s="2" t="s">
        <v>416</v>
      </c>
      <c r="B211" s="3" t="s">
        <v>417</v>
      </c>
      <c r="C211" s="73" t="s">
        <v>418</v>
      </c>
      <c r="D211" s="68"/>
      <c r="E211" s="3" t="s">
        <v>277</v>
      </c>
      <c r="F211" s="24">
        <v>76.607600000000005</v>
      </c>
      <c r="G211" s="24">
        <v>0</v>
      </c>
      <c r="H211" s="24">
        <f>F211*AO211</f>
        <v>0</v>
      </c>
      <c r="I211" s="24">
        <f>F211*AP211</f>
        <v>0</v>
      </c>
      <c r="J211" s="24">
        <f>F211*G211</f>
        <v>0</v>
      </c>
      <c r="K211" s="25" t="s">
        <v>67</v>
      </c>
      <c r="Z211" s="24">
        <f>IF(AQ211="5",BJ211,0)</f>
        <v>0</v>
      </c>
      <c r="AB211" s="24">
        <f>IF(AQ211="1",BH211,0)</f>
        <v>0</v>
      </c>
      <c r="AC211" s="24">
        <f>IF(AQ211="1",BI211,0)</f>
        <v>0</v>
      </c>
      <c r="AD211" s="24">
        <f>IF(AQ211="7",BH211,0)</f>
        <v>0</v>
      </c>
      <c r="AE211" s="24">
        <f>IF(AQ211="7",BI211,0)</f>
        <v>0</v>
      </c>
      <c r="AF211" s="24">
        <f>IF(AQ211="2",BH211,0)</f>
        <v>0</v>
      </c>
      <c r="AG211" s="24">
        <f>IF(AQ211="2",BI211,0)</f>
        <v>0</v>
      </c>
      <c r="AH211" s="24">
        <f>IF(AQ211="0",BJ211,0)</f>
        <v>0</v>
      </c>
      <c r="AI211" s="10" t="s">
        <v>51</v>
      </c>
      <c r="AJ211" s="24">
        <f>IF(AN211=0,J211,0)</f>
        <v>0</v>
      </c>
      <c r="AK211" s="24">
        <f>IF(AN211=12,J211,0)</f>
        <v>0</v>
      </c>
      <c r="AL211" s="24">
        <f>IF(AN211=21,J211,0)</f>
        <v>0</v>
      </c>
      <c r="AN211" s="24">
        <v>21</v>
      </c>
      <c r="AO211" s="24">
        <f>G211*0</f>
        <v>0</v>
      </c>
      <c r="AP211" s="24">
        <f>G211*(1-0)</f>
        <v>0</v>
      </c>
      <c r="AQ211" s="26" t="s">
        <v>89</v>
      </c>
      <c r="AV211" s="24">
        <f>AW211+AX211</f>
        <v>0</v>
      </c>
      <c r="AW211" s="24">
        <f>F211*AO211</f>
        <v>0</v>
      </c>
      <c r="AX211" s="24">
        <f>F211*AP211</f>
        <v>0</v>
      </c>
      <c r="AY211" s="26" t="s">
        <v>362</v>
      </c>
      <c r="AZ211" s="26" t="s">
        <v>209</v>
      </c>
      <c r="BA211" s="10" t="s">
        <v>59</v>
      </c>
      <c r="BC211" s="24">
        <f>AW211+AX211</f>
        <v>0</v>
      </c>
      <c r="BD211" s="24">
        <f>G211/(100-BE211)*100</f>
        <v>0</v>
      </c>
      <c r="BE211" s="24">
        <v>0</v>
      </c>
      <c r="BF211" s="24">
        <f>211</f>
        <v>211</v>
      </c>
      <c r="BH211" s="24">
        <f>F211*AO211</f>
        <v>0</v>
      </c>
      <c r="BI211" s="24">
        <f>F211*AP211</f>
        <v>0</v>
      </c>
      <c r="BJ211" s="24">
        <f>F211*G211</f>
        <v>0</v>
      </c>
      <c r="BK211" s="24"/>
      <c r="BL211" s="24"/>
      <c r="BW211" s="24">
        <v>21</v>
      </c>
      <c r="BX211" s="4" t="s">
        <v>418</v>
      </c>
    </row>
    <row r="212" spans="1:76">
      <c r="A212" s="27"/>
      <c r="C212" s="28" t="s">
        <v>419</v>
      </c>
      <c r="D212" s="28" t="s">
        <v>51</v>
      </c>
      <c r="F212" s="29">
        <v>76.607600000000005</v>
      </c>
      <c r="K212" s="30"/>
    </row>
    <row r="213" spans="1:76">
      <c r="A213" s="2" t="s">
        <v>420</v>
      </c>
      <c r="B213" s="3" t="s">
        <v>421</v>
      </c>
      <c r="C213" s="73" t="s">
        <v>422</v>
      </c>
      <c r="D213" s="68"/>
      <c r="E213" s="3" t="s">
        <v>277</v>
      </c>
      <c r="F213" s="24">
        <v>9.57</v>
      </c>
      <c r="G213" s="24">
        <v>0</v>
      </c>
      <c r="H213" s="24">
        <f>F213*AO213</f>
        <v>0</v>
      </c>
      <c r="I213" s="24">
        <f>F213*AP213</f>
        <v>0</v>
      </c>
      <c r="J213" s="24">
        <f>F213*G213</f>
        <v>0</v>
      </c>
      <c r="K213" s="25" t="s">
        <v>67</v>
      </c>
      <c r="Z213" s="24">
        <f>IF(AQ213="5",BJ213,0)</f>
        <v>0</v>
      </c>
      <c r="AB213" s="24">
        <f>IF(AQ213="1",BH213,0)</f>
        <v>0</v>
      </c>
      <c r="AC213" s="24">
        <f>IF(AQ213="1",BI213,0)</f>
        <v>0</v>
      </c>
      <c r="AD213" s="24">
        <f>IF(AQ213="7",BH213,0)</f>
        <v>0</v>
      </c>
      <c r="AE213" s="24">
        <f>IF(AQ213="7",BI213,0)</f>
        <v>0</v>
      </c>
      <c r="AF213" s="24">
        <f>IF(AQ213="2",BH213,0)</f>
        <v>0</v>
      </c>
      <c r="AG213" s="24">
        <f>IF(AQ213="2",BI213,0)</f>
        <v>0</v>
      </c>
      <c r="AH213" s="24">
        <f>IF(AQ213="0",BJ213,0)</f>
        <v>0</v>
      </c>
      <c r="AI213" s="10" t="s">
        <v>51</v>
      </c>
      <c r="AJ213" s="24">
        <f>IF(AN213=0,J213,0)</f>
        <v>0</v>
      </c>
      <c r="AK213" s="24">
        <f>IF(AN213=12,J213,0)</f>
        <v>0</v>
      </c>
      <c r="AL213" s="24">
        <f>IF(AN213=21,J213,0)</f>
        <v>0</v>
      </c>
      <c r="AN213" s="24">
        <v>21</v>
      </c>
      <c r="AO213" s="24">
        <f>G213*0</f>
        <v>0</v>
      </c>
      <c r="AP213" s="24">
        <f>G213*(1-0)</f>
        <v>0</v>
      </c>
      <c r="AQ213" s="26" t="s">
        <v>89</v>
      </c>
      <c r="AV213" s="24">
        <f>AW213+AX213</f>
        <v>0</v>
      </c>
      <c r="AW213" s="24">
        <f>F213*AO213</f>
        <v>0</v>
      </c>
      <c r="AX213" s="24">
        <f>F213*AP213</f>
        <v>0</v>
      </c>
      <c r="AY213" s="26" t="s">
        <v>362</v>
      </c>
      <c r="AZ213" s="26" t="s">
        <v>209</v>
      </c>
      <c r="BA213" s="10" t="s">
        <v>59</v>
      </c>
      <c r="BC213" s="24">
        <f>AW213+AX213</f>
        <v>0</v>
      </c>
      <c r="BD213" s="24">
        <f>G213/(100-BE213)*100</f>
        <v>0</v>
      </c>
      <c r="BE213" s="24">
        <v>0</v>
      </c>
      <c r="BF213" s="24">
        <f>213</f>
        <v>213</v>
      </c>
      <c r="BH213" s="24">
        <f>F213*AO213</f>
        <v>0</v>
      </c>
      <c r="BI213" s="24">
        <f>F213*AP213</f>
        <v>0</v>
      </c>
      <c r="BJ213" s="24">
        <f>F213*G213</f>
        <v>0</v>
      </c>
      <c r="BK213" s="24"/>
      <c r="BL213" s="24"/>
      <c r="BW213" s="24">
        <v>21</v>
      </c>
      <c r="BX213" s="4" t="s">
        <v>422</v>
      </c>
    </row>
    <row r="214" spans="1:76">
      <c r="A214" s="27"/>
      <c r="C214" s="28" t="s">
        <v>423</v>
      </c>
      <c r="D214" s="28" t="s">
        <v>51</v>
      </c>
      <c r="F214" s="29">
        <v>9.57</v>
      </c>
      <c r="K214" s="30"/>
    </row>
    <row r="215" spans="1:76">
      <c r="A215" s="2" t="s">
        <v>424</v>
      </c>
      <c r="B215" s="3" t="s">
        <v>425</v>
      </c>
      <c r="C215" s="73" t="s">
        <v>426</v>
      </c>
      <c r="D215" s="68"/>
      <c r="E215" s="3" t="s">
        <v>277</v>
      </c>
      <c r="F215" s="24">
        <v>798.26009999999997</v>
      </c>
      <c r="G215" s="24">
        <v>0</v>
      </c>
      <c r="H215" s="24">
        <f>F215*AO215</f>
        <v>0</v>
      </c>
      <c r="I215" s="24">
        <f>F215*AP215</f>
        <v>0</v>
      </c>
      <c r="J215" s="24">
        <f>F215*G215</f>
        <v>0</v>
      </c>
      <c r="K215" s="25" t="s">
        <v>67</v>
      </c>
      <c r="Z215" s="24">
        <f>IF(AQ215="5",BJ215,0)</f>
        <v>0</v>
      </c>
      <c r="AB215" s="24">
        <f>IF(AQ215="1",BH215,0)</f>
        <v>0</v>
      </c>
      <c r="AC215" s="24">
        <f>IF(AQ215="1",BI215,0)</f>
        <v>0</v>
      </c>
      <c r="AD215" s="24">
        <f>IF(AQ215="7",BH215,0)</f>
        <v>0</v>
      </c>
      <c r="AE215" s="24">
        <f>IF(AQ215="7",BI215,0)</f>
        <v>0</v>
      </c>
      <c r="AF215" s="24">
        <f>IF(AQ215="2",BH215,0)</f>
        <v>0</v>
      </c>
      <c r="AG215" s="24">
        <f>IF(AQ215="2",BI215,0)</f>
        <v>0</v>
      </c>
      <c r="AH215" s="24">
        <f>IF(AQ215="0",BJ215,0)</f>
        <v>0</v>
      </c>
      <c r="AI215" s="10" t="s">
        <v>51</v>
      </c>
      <c r="AJ215" s="24">
        <f>IF(AN215=0,J215,0)</f>
        <v>0</v>
      </c>
      <c r="AK215" s="24">
        <f>IF(AN215=12,J215,0)</f>
        <v>0</v>
      </c>
      <c r="AL215" s="24">
        <f>IF(AN215=21,J215,0)</f>
        <v>0</v>
      </c>
      <c r="AN215" s="24">
        <v>21</v>
      </c>
      <c r="AO215" s="24">
        <f>G215*0</f>
        <v>0</v>
      </c>
      <c r="AP215" s="24">
        <f>G215*(1-0)</f>
        <v>0</v>
      </c>
      <c r="AQ215" s="26" t="s">
        <v>89</v>
      </c>
      <c r="AV215" s="24">
        <f>AW215+AX215</f>
        <v>0</v>
      </c>
      <c r="AW215" s="24">
        <f>F215*AO215</f>
        <v>0</v>
      </c>
      <c r="AX215" s="24">
        <f>F215*AP215</f>
        <v>0</v>
      </c>
      <c r="AY215" s="26" t="s">
        <v>362</v>
      </c>
      <c r="AZ215" s="26" t="s">
        <v>209</v>
      </c>
      <c r="BA215" s="10" t="s">
        <v>59</v>
      </c>
      <c r="BC215" s="24">
        <f>AW215+AX215</f>
        <v>0</v>
      </c>
      <c r="BD215" s="24">
        <f>G215/(100-BE215)*100</f>
        <v>0</v>
      </c>
      <c r="BE215" s="24">
        <v>0</v>
      </c>
      <c r="BF215" s="24">
        <f>215</f>
        <v>215</v>
      </c>
      <c r="BH215" s="24">
        <f>F215*AO215</f>
        <v>0</v>
      </c>
      <c r="BI215" s="24">
        <f>F215*AP215</f>
        <v>0</v>
      </c>
      <c r="BJ215" s="24">
        <f>F215*G215</f>
        <v>0</v>
      </c>
      <c r="BK215" s="24"/>
      <c r="BL215" s="24"/>
      <c r="BW215" s="24">
        <v>21</v>
      </c>
      <c r="BX215" s="4" t="s">
        <v>426</v>
      </c>
    </row>
    <row r="216" spans="1:76">
      <c r="A216" s="35"/>
      <c r="B216" s="36"/>
      <c r="C216" s="37" t="s">
        <v>427</v>
      </c>
      <c r="D216" s="37" t="s">
        <v>51</v>
      </c>
      <c r="E216" s="36"/>
      <c r="F216" s="38">
        <v>798.26009999999997</v>
      </c>
      <c r="G216" s="36"/>
      <c r="H216" s="36"/>
      <c r="I216" s="36"/>
      <c r="J216" s="36"/>
      <c r="K216" s="39"/>
    </row>
    <row r="217" spans="1:76">
      <c r="H217" s="91" t="s">
        <v>428</v>
      </c>
      <c r="I217" s="91"/>
      <c r="J217" s="40">
        <f>J12+J15+J20+J25+J32+J39+J42+J66+J69+J76+J79+J82+J169+J174+J182</f>
        <v>0</v>
      </c>
    </row>
    <row r="218" spans="1:76">
      <c r="A218" s="41" t="s">
        <v>429</v>
      </c>
    </row>
    <row r="219" spans="1:76" ht="12.75" customHeight="1">
      <c r="A219" s="73" t="s">
        <v>51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</row>
  </sheetData>
  <mergeCells count="115">
    <mergeCell ref="C213:D213"/>
    <mergeCell ref="C215:D215"/>
    <mergeCell ref="H217:I217"/>
    <mergeCell ref="A219:K219"/>
    <mergeCell ref="C203:D203"/>
    <mergeCell ref="C205:D205"/>
    <mergeCell ref="C207:D207"/>
    <mergeCell ref="C209:D209"/>
    <mergeCell ref="C211:D211"/>
    <mergeCell ref="C193:D193"/>
    <mergeCell ref="C195:D195"/>
    <mergeCell ref="C197:D197"/>
    <mergeCell ref="C199:D199"/>
    <mergeCell ref="C201:D201"/>
    <mergeCell ref="C183:D183"/>
    <mergeCell ref="C185:D185"/>
    <mergeCell ref="C187:D187"/>
    <mergeCell ref="C189:D189"/>
    <mergeCell ref="C191:D191"/>
    <mergeCell ref="C172:D172"/>
    <mergeCell ref="C174:D174"/>
    <mergeCell ref="C175:D175"/>
    <mergeCell ref="C180:D180"/>
    <mergeCell ref="C182:D182"/>
    <mergeCell ref="C150:D150"/>
    <mergeCell ref="C154:D154"/>
    <mergeCell ref="C166:D166"/>
    <mergeCell ref="C169:D169"/>
    <mergeCell ref="C170:D170"/>
    <mergeCell ref="C133:D133"/>
    <mergeCell ref="C142:D142"/>
    <mergeCell ref="C144:D144"/>
    <mergeCell ref="C146:D146"/>
    <mergeCell ref="C148:D148"/>
    <mergeCell ref="C113:D113"/>
    <mergeCell ref="C115:D115"/>
    <mergeCell ref="C122:D122"/>
    <mergeCell ref="C128:D128"/>
    <mergeCell ref="C130:D130"/>
    <mergeCell ref="C100:D100"/>
    <mergeCell ref="C102:D102"/>
    <mergeCell ref="C104:D104"/>
    <mergeCell ref="C107:D107"/>
    <mergeCell ref="C111:D111"/>
    <mergeCell ref="C82:D82"/>
    <mergeCell ref="C83:D83"/>
    <mergeCell ref="C90:D90"/>
    <mergeCell ref="C92:D92"/>
    <mergeCell ref="C97:D97"/>
    <mergeCell ref="C74:D74"/>
    <mergeCell ref="C76:D76"/>
    <mergeCell ref="C77:D77"/>
    <mergeCell ref="C79:D79"/>
    <mergeCell ref="C80:D80"/>
    <mergeCell ref="C64:D64"/>
    <mergeCell ref="C66:D66"/>
    <mergeCell ref="C67:D67"/>
    <mergeCell ref="C69:D69"/>
    <mergeCell ref="C70:D70"/>
    <mergeCell ref="C54:D54"/>
    <mergeCell ref="C56:D56"/>
    <mergeCell ref="C58:D58"/>
    <mergeCell ref="C60:D60"/>
    <mergeCell ref="C62:D62"/>
    <mergeCell ref="C43:D43"/>
    <mergeCell ref="C46:D46"/>
    <mergeCell ref="C48:D48"/>
    <mergeCell ref="C50:D50"/>
    <mergeCell ref="C52:D52"/>
    <mergeCell ref="C35:D35"/>
    <mergeCell ref="C37:D37"/>
    <mergeCell ref="C39:D39"/>
    <mergeCell ref="C40:D40"/>
    <mergeCell ref="C42:D42"/>
    <mergeCell ref="C26:D26"/>
    <mergeCell ref="C28:D28"/>
    <mergeCell ref="C30:D30"/>
    <mergeCell ref="C32:D32"/>
    <mergeCell ref="C33:D33"/>
    <mergeCell ref="C16:D16"/>
    <mergeCell ref="C20:D20"/>
    <mergeCell ref="C21:D21"/>
    <mergeCell ref="C23:D23"/>
    <mergeCell ref="C25:D25"/>
    <mergeCell ref="C11:D11"/>
    <mergeCell ref="H10:J10"/>
    <mergeCell ref="C12:D12"/>
    <mergeCell ref="C13:D13"/>
    <mergeCell ref="C15:D15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>
      <c r="A1" s="92" t="s">
        <v>430</v>
      </c>
      <c r="B1" s="64"/>
      <c r="C1" s="64"/>
      <c r="D1" s="64"/>
      <c r="E1" s="64"/>
      <c r="F1" s="64"/>
      <c r="G1" s="64"/>
      <c r="H1" s="64"/>
      <c r="I1" s="64"/>
    </row>
    <row r="2" spans="1:9">
      <c r="A2" s="65" t="s">
        <v>1</v>
      </c>
      <c r="B2" s="66"/>
      <c r="C2" s="74" t="str">
        <f>'Stavební rozpočet'!C2</f>
        <v>ODSTRANĚNÍ BÝVALÉHO AREÁLU KOVOŠROT - haly č. 4</v>
      </c>
      <c r="D2" s="75"/>
      <c r="E2" s="72" t="s">
        <v>5</v>
      </c>
      <c r="F2" s="72" t="str">
        <f>'Stavební rozpočet'!I2</f>
        <v>Technické služby Litvínov s.r.o.</v>
      </c>
      <c r="G2" s="66"/>
      <c r="H2" s="72" t="s">
        <v>431</v>
      </c>
      <c r="I2" s="77" t="s">
        <v>51</v>
      </c>
    </row>
    <row r="3" spans="1:9" ht="15" customHeight="1">
      <c r="A3" s="67"/>
      <c r="B3" s="68"/>
      <c r="C3" s="76"/>
      <c r="D3" s="76"/>
      <c r="E3" s="68"/>
      <c r="F3" s="68"/>
      <c r="G3" s="68"/>
      <c r="H3" s="68"/>
      <c r="I3" s="78"/>
    </row>
    <row r="4" spans="1:9">
      <c r="A4" s="69" t="s">
        <v>7</v>
      </c>
      <c r="B4" s="68"/>
      <c r="C4" s="73" t="str">
        <f>'Stavební rozpočet'!C4</f>
        <v>Odstranění haly</v>
      </c>
      <c r="D4" s="68"/>
      <c r="E4" s="73" t="s">
        <v>10</v>
      </c>
      <c r="F4" s="73" t="str">
        <f>'Stavební rozpočet'!I4</f>
        <v>VIVACH s.r.o.</v>
      </c>
      <c r="G4" s="68"/>
      <c r="H4" s="73" t="s">
        <v>431</v>
      </c>
      <c r="I4" s="78" t="s">
        <v>51</v>
      </c>
    </row>
    <row r="5" spans="1:9" ht="15" customHeight="1">
      <c r="A5" s="67"/>
      <c r="B5" s="68"/>
      <c r="C5" s="68"/>
      <c r="D5" s="68"/>
      <c r="E5" s="68"/>
      <c r="F5" s="68"/>
      <c r="G5" s="68"/>
      <c r="H5" s="68"/>
      <c r="I5" s="78"/>
    </row>
    <row r="6" spans="1:9">
      <c r="A6" s="69" t="s">
        <v>12</v>
      </c>
      <c r="B6" s="68"/>
      <c r="C6" s="73" t="str">
        <f>'Stavební rozpočet'!C6</f>
        <v>k.ú.Hamr u Litvínova, parc. č. 559</v>
      </c>
      <c r="D6" s="68"/>
      <c r="E6" s="73" t="s">
        <v>15</v>
      </c>
      <c r="F6" s="73" t="str">
        <f>'Stavební rozpočet'!I6</f>
        <v> </v>
      </c>
      <c r="G6" s="68"/>
      <c r="H6" s="73" t="s">
        <v>431</v>
      </c>
      <c r="I6" s="78" t="s">
        <v>51</v>
      </c>
    </row>
    <row r="7" spans="1:9" ht="15" customHeight="1">
      <c r="A7" s="67"/>
      <c r="B7" s="68"/>
      <c r="C7" s="68"/>
      <c r="D7" s="68"/>
      <c r="E7" s="68"/>
      <c r="F7" s="68"/>
      <c r="G7" s="68"/>
      <c r="H7" s="68"/>
      <c r="I7" s="78"/>
    </row>
    <row r="8" spans="1:9">
      <c r="A8" s="69" t="s">
        <v>9</v>
      </c>
      <c r="B8" s="68"/>
      <c r="C8" s="73" t="str">
        <f>'Stavební rozpočet'!G4</f>
        <v xml:space="preserve"> </v>
      </c>
      <c r="D8" s="68"/>
      <c r="E8" s="73" t="s">
        <v>14</v>
      </c>
      <c r="F8" s="73" t="str">
        <f>'Stavební rozpočet'!G6</f>
        <v xml:space="preserve"> </v>
      </c>
      <c r="G8" s="68"/>
      <c r="H8" s="68" t="s">
        <v>432</v>
      </c>
      <c r="I8" s="95">
        <v>70</v>
      </c>
    </row>
    <row r="9" spans="1:9">
      <c r="A9" s="67"/>
      <c r="B9" s="68"/>
      <c r="C9" s="68"/>
      <c r="D9" s="68"/>
      <c r="E9" s="68"/>
      <c r="F9" s="68"/>
      <c r="G9" s="68"/>
      <c r="H9" s="68"/>
      <c r="I9" s="78"/>
    </row>
    <row r="10" spans="1:9">
      <c r="A10" s="69" t="s">
        <v>17</v>
      </c>
      <c r="B10" s="68"/>
      <c r="C10" s="73" t="str">
        <f>'Stavební rozpočet'!C8</f>
        <v xml:space="preserve"> </v>
      </c>
      <c r="D10" s="68"/>
      <c r="E10" s="73" t="s">
        <v>20</v>
      </c>
      <c r="F10" s="73" t="str">
        <f>'Stavební rozpočet'!I8</f>
        <v>Kamila Možná</v>
      </c>
      <c r="G10" s="68"/>
      <c r="H10" s="68" t="s">
        <v>433</v>
      </c>
      <c r="I10" s="96" t="str">
        <f>'Stavební rozpočet'!G8</f>
        <v>30.10.2024</v>
      </c>
    </row>
    <row r="11" spans="1:9">
      <c r="A11" s="93"/>
      <c r="B11" s="94"/>
      <c r="C11" s="94"/>
      <c r="D11" s="94"/>
      <c r="E11" s="94"/>
      <c r="F11" s="94"/>
      <c r="G11" s="94"/>
      <c r="H11" s="94"/>
      <c r="I11" s="97"/>
    </row>
    <row r="12" spans="1:9" ht="23.25">
      <c r="A12" s="98" t="s">
        <v>434</v>
      </c>
      <c r="B12" s="98"/>
      <c r="C12" s="98"/>
      <c r="D12" s="98"/>
      <c r="E12" s="98"/>
      <c r="F12" s="98"/>
      <c r="G12" s="98"/>
      <c r="H12" s="98"/>
      <c r="I12" s="98"/>
    </row>
    <row r="13" spans="1:9" ht="26.25" customHeight="1">
      <c r="A13" s="42" t="s">
        <v>435</v>
      </c>
      <c r="B13" s="99" t="s">
        <v>436</v>
      </c>
      <c r="C13" s="100"/>
      <c r="D13" s="43" t="s">
        <v>437</v>
      </c>
      <c r="E13" s="99" t="s">
        <v>438</v>
      </c>
      <c r="F13" s="100"/>
      <c r="G13" s="43" t="s">
        <v>439</v>
      </c>
      <c r="H13" s="99" t="s">
        <v>440</v>
      </c>
      <c r="I13" s="100"/>
    </row>
    <row r="14" spans="1:9" ht="15.75">
      <c r="A14" s="44" t="s">
        <v>441</v>
      </c>
      <c r="B14" s="45" t="s">
        <v>442</v>
      </c>
      <c r="C14" s="46">
        <f>SUM('Stavební rozpočet'!AB12:AB216)</f>
        <v>0</v>
      </c>
      <c r="D14" s="107" t="s">
        <v>443</v>
      </c>
      <c r="E14" s="108"/>
      <c r="F14" s="46">
        <f>VORN!I15</f>
        <v>0</v>
      </c>
      <c r="G14" s="107" t="s">
        <v>444</v>
      </c>
      <c r="H14" s="108"/>
      <c r="I14" s="47">
        <f>VORN!I21</f>
        <v>0</v>
      </c>
    </row>
    <row r="15" spans="1:9" ht="15.75">
      <c r="A15" s="48" t="s">
        <v>51</v>
      </c>
      <c r="B15" s="45" t="s">
        <v>36</v>
      </c>
      <c r="C15" s="46">
        <f>SUM('Stavební rozpočet'!AC12:AC216)</f>
        <v>0</v>
      </c>
      <c r="D15" s="107" t="s">
        <v>445</v>
      </c>
      <c r="E15" s="108"/>
      <c r="F15" s="46">
        <f>VORN!I16</f>
        <v>0</v>
      </c>
      <c r="G15" s="107" t="s">
        <v>446</v>
      </c>
      <c r="H15" s="108"/>
      <c r="I15" s="47">
        <f>VORN!I22</f>
        <v>0</v>
      </c>
    </row>
    <row r="16" spans="1:9" ht="15.75">
      <c r="A16" s="44" t="s">
        <v>447</v>
      </c>
      <c r="B16" s="45" t="s">
        <v>442</v>
      </c>
      <c r="C16" s="46">
        <f>SUM('Stavební rozpočet'!AD12:AD216)</f>
        <v>0</v>
      </c>
      <c r="D16" s="107" t="s">
        <v>448</v>
      </c>
      <c r="E16" s="108"/>
      <c r="F16" s="46">
        <f>VORN!I17</f>
        <v>0</v>
      </c>
      <c r="G16" s="107" t="s">
        <v>449</v>
      </c>
      <c r="H16" s="108"/>
      <c r="I16" s="47">
        <f>VORN!I23</f>
        <v>0</v>
      </c>
    </row>
    <row r="17" spans="1:9" ht="15.75">
      <c r="A17" s="48" t="s">
        <v>51</v>
      </c>
      <c r="B17" s="45" t="s">
        <v>36</v>
      </c>
      <c r="C17" s="46">
        <f>SUM('Stavební rozpočet'!AE12:AE216)</f>
        <v>0</v>
      </c>
      <c r="D17" s="107" t="s">
        <v>51</v>
      </c>
      <c r="E17" s="108"/>
      <c r="F17" s="47" t="s">
        <v>51</v>
      </c>
      <c r="G17" s="107" t="s">
        <v>450</v>
      </c>
      <c r="H17" s="108"/>
      <c r="I17" s="47">
        <f>VORN!I24</f>
        <v>0</v>
      </c>
    </row>
    <row r="18" spans="1:9" ht="15.75">
      <c r="A18" s="44" t="s">
        <v>451</v>
      </c>
      <c r="B18" s="45" t="s">
        <v>442</v>
      </c>
      <c r="C18" s="46">
        <f>SUM('Stavební rozpočet'!AF12:AF216)</f>
        <v>0</v>
      </c>
      <c r="D18" s="107" t="s">
        <v>51</v>
      </c>
      <c r="E18" s="108"/>
      <c r="F18" s="47" t="s">
        <v>51</v>
      </c>
      <c r="G18" s="107" t="s">
        <v>452</v>
      </c>
      <c r="H18" s="108"/>
      <c r="I18" s="47">
        <f>VORN!I25</f>
        <v>0</v>
      </c>
    </row>
    <row r="19" spans="1:9" ht="15.75">
      <c r="A19" s="48" t="s">
        <v>51</v>
      </c>
      <c r="B19" s="45" t="s">
        <v>36</v>
      </c>
      <c r="C19" s="46">
        <f>SUM('Stavební rozpočet'!AG12:AG216)</f>
        <v>0</v>
      </c>
      <c r="D19" s="107" t="s">
        <v>51</v>
      </c>
      <c r="E19" s="108"/>
      <c r="F19" s="47" t="s">
        <v>51</v>
      </c>
      <c r="G19" s="107" t="s">
        <v>453</v>
      </c>
      <c r="H19" s="108"/>
      <c r="I19" s="47">
        <f>VORN!I26</f>
        <v>0</v>
      </c>
    </row>
    <row r="20" spans="1:9" ht="15.75">
      <c r="A20" s="101" t="s">
        <v>454</v>
      </c>
      <c r="B20" s="102"/>
      <c r="C20" s="46">
        <f>SUM('Stavební rozpočet'!AH12:AH216)</f>
        <v>0</v>
      </c>
      <c r="D20" s="107" t="s">
        <v>51</v>
      </c>
      <c r="E20" s="108"/>
      <c r="F20" s="47" t="s">
        <v>51</v>
      </c>
      <c r="G20" s="107" t="s">
        <v>51</v>
      </c>
      <c r="H20" s="108"/>
      <c r="I20" s="47" t="s">
        <v>51</v>
      </c>
    </row>
    <row r="21" spans="1:9" ht="15.75">
      <c r="A21" s="103" t="s">
        <v>455</v>
      </c>
      <c r="B21" s="104"/>
      <c r="C21" s="49">
        <f>SUM('Stavební rozpočet'!Z12:Z216)</f>
        <v>0</v>
      </c>
      <c r="D21" s="109" t="s">
        <v>51</v>
      </c>
      <c r="E21" s="110"/>
      <c r="F21" s="50" t="s">
        <v>51</v>
      </c>
      <c r="G21" s="109" t="s">
        <v>51</v>
      </c>
      <c r="H21" s="110"/>
      <c r="I21" s="50" t="s">
        <v>51</v>
      </c>
    </row>
    <row r="22" spans="1:9" ht="16.5" customHeight="1">
      <c r="A22" s="105" t="s">
        <v>456</v>
      </c>
      <c r="B22" s="106"/>
      <c r="C22" s="51">
        <f>SUM(C14:C21)</f>
        <v>0</v>
      </c>
      <c r="D22" s="111" t="s">
        <v>457</v>
      </c>
      <c r="E22" s="106"/>
      <c r="F22" s="51">
        <f>SUM(F14:F21)</f>
        <v>0</v>
      </c>
      <c r="G22" s="111" t="s">
        <v>458</v>
      </c>
      <c r="H22" s="106"/>
      <c r="I22" s="51">
        <f>SUM(I14:I21)</f>
        <v>0</v>
      </c>
    </row>
    <row r="23" spans="1:9" ht="15.75">
      <c r="D23" s="101" t="s">
        <v>459</v>
      </c>
      <c r="E23" s="102"/>
      <c r="F23" s="52">
        <v>0</v>
      </c>
      <c r="G23" s="112" t="s">
        <v>460</v>
      </c>
      <c r="H23" s="102"/>
      <c r="I23" s="46">
        <v>0</v>
      </c>
    </row>
    <row r="24" spans="1:9" ht="15.75">
      <c r="G24" s="101" t="s">
        <v>461</v>
      </c>
      <c r="H24" s="102"/>
      <c r="I24" s="49">
        <f>vorn_sum</f>
        <v>0</v>
      </c>
    </row>
    <row r="25" spans="1:9" ht="15.75">
      <c r="G25" s="101" t="s">
        <v>462</v>
      </c>
      <c r="H25" s="102"/>
      <c r="I25" s="51">
        <v>0</v>
      </c>
    </row>
    <row r="27" spans="1:9" ht="15.75">
      <c r="A27" s="113" t="s">
        <v>463</v>
      </c>
      <c r="B27" s="114"/>
      <c r="C27" s="53">
        <f>SUM('Stavební rozpočet'!AJ12:AJ216)</f>
        <v>0</v>
      </c>
    </row>
    <row r="28" spans="1:9" ht="15.75">
      <c r="A28" s="115" t="s">
        <v>464</v>
      </c>
      <c r="B28" s="116"/>
      <c r="C28" s="54">
        <f>SUM('Stavební rozpočet'!AK12:AK216)</f>
        <v>0</v>
      </c>
      <c r="D28" s="117" t="s">
        <v>465</v>
      </c>
      <c r="E28" s="114"/>
      <c r="F28" s="53">
        <f>ROUND(C28*(12/100),2)</f>
        <v>0</v>
      </c>
      <c r="G28" s="117" t="s">
        <v>466</v>
      </c>
      <c r="H28" s="114"/>
      <c r="I28" s="53">
        <f>SUM(C27:C29)</f>
        <v>0</v>
      </c>
    </row>
    <row r="29" spans="1:9" ht="15.75">
      <c r="A29" s="115" t="s">
        <v>467</v>
      </c>
      <c r="B29" s="116"/>
      <c r="C29" s="54">
        <f>SUM('Stavební rozpočet'!AL12:AL216)+(F22+I22+F23+I23+I24+I25)</f>
        <v>0</v>
      </c>
      <c r="D29" s="118" t="s">
        <v>468</v>
      </c>
      <c r="E29" s="116"/>
      <c r="F29" s="54">
        <f>ROUND(C29*(21/100),2)</f>
        <v>0</v>
      </c>
      <c r="G29" s="118" t="s">
        <v>469</v>
      </c>
      <c r="H29" s="116"/>
      <c r="I29" s="54">
        <f>SUM(F28:F29)+I28</f>
        <v>0</v>
      </c>
    </row>
    <row r="31" spans="1:9">
      <c r="A31" s="119" t="s">
        <v>470</v>
      </c>
      <c r="B31" s="120"/>
      <c r="C31" s="121"/>
      <c r="D31" s="128" t="s">
        <v>471</v>
      </c>
      <c r="E31" s="120"/>
      <c r="F31" s="121"/>
      <c r="G31" s="128" t="s">
        <v>472</v>
      </c>
      <c r="H31" s="120"/>
      <c r="I31" s="121"/>
    </row>
    <row r="32" spans="1:9">
      <c r="A32" s="122" t="s">
        <v>51</v>
      </c>
      <c r="B32" s="123"/>
      <c r="C32" s="124"/>
      <c r="D32" s="129" t="s">
        <v>51</v>
      </c>
      <c r="E32" s="123"/>
      <c r="F32" s="124"/>
      <c r="G32" s="129" t="s">
        <v>51</v>
      </c>
      <c r="H32" s="123"/>
      <c r="I32" s="124"/>
    </row>
    <row r="33" spans="1:9">
      <c r="A33" s="122" t="s">
        <v>51</v>
      </c>
      <c r="B33" s="123"/>
      <c r="C33" s="124"/>
      <c r="D33" s="129" t="s">
        <v>51</v>
      </c>
      <c r="E33" s="123"/>
      <c r="F33" s="124"/>
      <c r="G33" s="129" t="s">
        <v>51</v>
      </c>
      <c r="H33" s="123"/>
      <c r="I33" s="124"/>
    </row>
    <row r="34" spans="1:9">
      <c r="A34" s="122" t="s">
        <v>51</v>
      </c>
      <c r="B34" s="123"/>
      <c r="C34" s="124"/>
      <c r="D34" s="129" t="s">
        <v>51</v>
      </c>
      <c r="E34" s="123"/>
      <c r="F34" s="124"/>
      <c r="G34" s="129" t="s">
        <v>51</v>
      </c>
      <c r="H34" s="123"/>
      <c r="I34" s="124"/>
    </row>
    <row r="35" spans="1:9">
      <c r="A35" s="125" t="s">
        <v>473</v>
      </c>
      <c r="B35" s="126"/>
      <c r="C35" s="127"/>
      <c r="D35" s="130" t="s">
        <v>473</v>
      </c>
      <c r="E35" s="126"/>
      <c r="F35" s="127"/>
      <c r="G35" s="130" t="s">
        <v>473</v>
      </c>
      <c r="H35" s="126"/>
      <c r="I35" s="127"/>
    </row>
    <row r="36" spans="1:9">
      <c r="A36" s="55" t="s">
        <v>429</v>
      </c>
    </row>
    <row r="37" spans="1:9" ht="12.75" customHeight="1">
      <c r="A37" s="73" t="s">
        <v>51</v>
      </c>
      <c r="B37" s="68"/>
      <c r="C37" s="68"/>
      <c r="D37" s="68"/>
      <c r="E37" s="68"/>
      <c r="F37" s="68"/>
      <c r="G37" s="68"/>
      <c r="H37" s="68"/>
      <c r="I37" s="68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>
      <c r="A1" s="92" t="s">
        <v>474</v>
      </c>
      <c r="B1" s="64"/>
      <c r="C1" s="64"/>
      <c r="D1" s="64"/>
      <c r="E1" s="64"/>
      <c r="F1" s="64"/>
      <c r="G1" s="64"/>
      <c r="H1" s="64"/>
      <c r="I1" s="64"/>
    </row>
    <row r="2" spans="1:9">
      <c r="A2" s="65" t="s">
        <v>1</v>
      </c>
      <c r="B2" s="66"/>
      <c r="C2" s="74" t="str">
        <f>'Stavební rozpočet'!C2</f>
        <v>ODSTRANĚNÍ BÝVALÉHO AREÁLU KOVOŠROT - haly č. 4</v>
      </c>
      <c r="D2" s="75"/>
      <c r="E2" s="72" t="s">
        <v>5</v>
      </c>
      <c r="F2" s="72" t="str">
        <f>'Stavební rozpočet'!I2</f>
        <v>Technické služby Litvínov s.r.o.</v>
      </c>
      <c r="G2" s="66"/>
      <c r="H2" s="72" t="s">
        <v>431</v>
      </c>
      <c r="I2" s="77" t="s">
        <v>51</v>
      </c>
    </row>
    <row r="3" spans="1:9" ht="15" customHeight="1">
      <c r="A3" s="67"/>
      <c r="B3" s="68"/>
      <c r="C3" s="76"/>
      <c r="D3" s="76"/>
      <c r="E3" s="68"/>
      <c r="F3" s="68"/>
      <c r="G3" s="68"/>
      <c r="H3" s="68"/>
      <c r="I3" s="78"/>
    </row>
    <row r="4" spans="1:9">
      <c r="A4" s="69" t="s">
        <v>7</v>
      </c>
      <c r="B4" s="68"/>
      <c r="C4" s="73" t="str">
        <f>'Stavební rozpočet'!C4</f>
        <v>Odstranění haly</v>
      </c>
      <c r="D4" s="68"/>
      <c r="E4" s="73" t="s">
        <v>10</v>
      </c>
      <c r="F4" s="73" t="str">
        <f>'Stavební rozpočet'!I4</f>
        <v>VIVACH s.r.o.</v>
      </c>
      <c r="G4" s="68"/>
      <c r="H4" s="73" t="s">
        <v>431</v>
      </c>
      <c r="I4" s="78" t="s">
        <v>51</v>
      </c>
    </row>
    <row r="5" spans="1:9" ht="15" customHeight="1">
      <c r="A5" s="67"/>
      <c r="B5" s="68"/>
      <c r="C5" s="68"/>
      <c r="D5" s="68"/>
      <c r="E5" s="68"/>
      <c r="F5" s="68"/>
      <c r="G5" s="68"/>
      <c r="H5" s="68"/>
      <c r="I5" s="78"/>
    </row>
    <row r="6" spans="1:9">
      <c r="A6" s="69" t="s">
        <v>12</v>
      </c>
      <c r="B6" s="68"/>
      <c r="C6" s="73" t="str">
        <f>'Stavební rozpočet'!C6</f>
        <v>k.ú.Hamr u Litvínova, parc. č. 559</v>
      </c>
      <c r="D6" s="68"/>
      <c r="E6" s="73" t="s">
        <v>15</v>
      </c>
      <c r="F6" s="73" t="str">
        <f>'Stavební rozpočet'!I6</f>
        <v> </v>
      </c>
      <c r="G6" s="68"/>
      <c r="H6" s="73" t="s">
        <v>431</v>
      </c>
      <c r="I6" s="78" t="s">
        <v>51</v>
      </c>
    </row>
    <row r="7" spans="1:9" ht="15" customHeight="1">
      <c r="A7" s="67"/>
      <c r="B7" s="68"/>
      <c r="C7" s="68"/>
      <c r="D7" s="68"/>
      <c r="E7" s="68"/>
      <c r="F7" s="68"/>
      <c r="G7" s="68"/>
      <c r="H7" s="68"/>
      <c r="I7" s="78"/>
    </row>
    <row r="8" spans="1:9">
      <c r="A8" s="69" t="s">
        <v>9</v>
      </c>
      <c r="B8" s="68"/>
      <c r="C8" s="73" t="str">
        <f>'Stavební rozpočet'!G4</f>
        <v xml:space="preserve"> </v>
      </c>
      <c r="D8" s="68"/>
      <c r="E8" s="73" t="s">
        <v>14</v>
      </c>
      <c r="F8" s="73" t="str">
        <f>'Stavební rozpočet'!G6</f>
        <v xml:space="preserve"> </v>
      </c>
      <c r="G8" s="68"/>
      <c r="H8" s="68" t="s">
        <v>432</v>
      </c>
      <c r="I8" s="95">
        <v>70</v>
      </c>
    </row>
    <row r="9" spans="1:9">
      <c r="A9" s="67"/>
      <c r="B9" s="68"/>
      <c r="C9" s="68"/>
      <c r="D9" s="68"/>
      <c r="E9" s="68"/>
      <c r="F9" s="68"/>
      <c r="G9" s="68"/>
      <c r="H9" s="68"/>
      <c r="I9" s="78"/>
    </row>
    <row r="10" spans="1:9">
      <c r="A10" s="69" t="s">
        <v>17</v>
      </c>
      <c r="B10" s="68"/>
      <c r="C10" s="73" t="str">
        <f>'Stavební rozpočet'!C8</f>
        <v xml:space="preserve"> </v>
      </c>
      <c r="D10" s="68"/>
      <c r="E10" s="73" t="s">
        <v>20</v>
      </c>
      <c r="F10" s="73" t="str">
        <f>'Stavební rozpočet'!I8</f>
        <v>Kamila Možná</v>
      </c>
      <c r="G10" s="68"/>
      <c r="H10" s="68" t="s">
        <v>433</v>
      </c>
      <c r="I10" s="96" t="str">
        <f>'Stavební rozpočet'!G8</f>
        <v>30.10.2024</v>
      </c>
    </row>
    <row r="11" spans="1:9">
      <c r="A11" s="93"/>
      <c r="B11" s="94"/>
      <c r="C11" s="94"/>
      <c r="D11" s="94"/>
      <c r="E11" s="94"/>
      <c r="F11" s="94"/>
      <c r="G11" s="94"/>
      <c r="H11" s="94"/>
      <c r="I11" s="97"/>
    </row>
    <row r="13" spans="1:9" ht="15.75">
      <c r="A13" s="131" t="s">
        <v>475</v>
      </c>
      <c r="B13" s="131"/>
      <c r="C13" s="131"/>
      <c r="D13" s="131"/>
      <c r="E13" s="131"/>
    </row>
    <row r="14" spans="1:9">
      <c r="A14" s="132" t="s">
        <v>476</v>
      </c>
      <c r="B14" s="133"/>
      <c r="C14" s="133"/>
      <c r="D14" s="133"/>
      <c r="E14" s="134"/>
      <c r="F14" s="56" t="s">
        <v>477</v>
      </c>
      <c r="G14" s="56" t="s">
        <v>478</v>
      </c>
      <c r="H14" s="56" t="s">
        <v>479</v>
      </c>
      <c r="I14" s="56" t="s">
        <v>477</v>
      </c>
    </row>
    <row r="15" spans="1:9">
      <c r="A15" s="135" t="s">
        <v>443</v>
      </c>
      <c r="B15" s="136"/>
      <c r="C15" s="136"/>
      <c r="D15" s="136"/>
      <c r="E15" s="137"/>
      <c r="F15" s="57">
        <v>0</v>
      </c>
      <c r="G15" s="58" t="s">
        <v>51</v>
      </c>
      <c r="H15" s="58" t="s">
        <v>51</v>
      </c>
      <c r="I15" s="57">
        <f>F15</f>
        <v>0</v>
      </c>
    </row>
    <row r="16" spans="1:9">
      <c r="A16" s="135" t="s">
        <v>445</v>
      </c>
      <c r="B16" s="136"/>
      <c r="C16" s="136"/>
      <c r="D16" s="136"/>
      <c r="E16" s="137"/>
      <c r="F16" s="57">
        <v>0</v>
      </c>
      <c r="G16" s="58" t="s">
        <v>51</v>
      </c>
      <c r="H16" s="58" t="s">
        <v>51</v>
      </c>
      <c r="I16" s="57">
        <f>F16</f>
        <v>0</v>
      </c>
    </row>
    <row r="17" spans="1:9">
      <c r="A17" s="138" t="s">
        <v>448</v>
      </c>
      <c r="B17" s="139"/>
      <c r="C17" s="139"/>
      <c r="D17" s="139"/>
      <c r="E17" s="140"/>
      <c r="F17" s="59">
        <v>0</v>
      </c>
      <c r="G17" s="60" t="s">
        <v>51</v>
      </c>
      <c r="H17" s="60" t="s">
        <v>51</v>
      </c>
      <c r="I17" s="59">
        <f>F17</f>
        <v>0</v>
      </c>
    </row>
    <row r="18" spans="1:9">
      <c r="A18" s="141" t="s">
        <v>480</v>
      </c>
      <c r="B18" s="142"/>
      <c r="C18" s="142"/>
      <c r="D18" s="142"/>
      <c r="E18" s="143"/>
      <c r="F18" s="61" t="s">
        <v>51</v>
      </c>
      <c r="G18" s="62" t="s">
        <v>51</v>
      </c>
      <c r="H18" s="62" t="s">
        <v>51</v>
      </c>
      <c r="I18" s="63">
        <f>SUM(I15:I17)</f>
        <v>0</v>
      </c>
    </row>
    <row r="20" spans="1:9">
      <c r="A20" s="132" t="s">
        <v>440</v>
      </c>
      <c r="B20" s="133"/>
      <c r="C20" s="133"/>
      <c r="D20" s="133"/>
      <c r="E20" s="134"/>
      <c r="F20" s="56" t="s">
        <v>477</v>
      </c>
      <c r="G20" s="56" t="s">
        <v>478</v>
      </c>
      <c r="H20" s="56" t="s">
        <v>479</v>
      </c>
      <c r="I20" s="56" t="s">
        <v>477</v>
      </c>
    </row>
    <row r="21" spans="1:9">
      <c r="A21" s="135" t="s">
        <v>444</v>
      </c>
      <c r="B21" s="136"/>
      <c r="C21" s="136"/>
      <c r="D21" s="136"/>
      <c r="E21" s="137"/>
      <c r="F21" s="57">
        <v>0</v>
      </c>
      <c r="G21" s="58" t="s">
        <v>51</v>
      </c>
      <c r="H21" s="58" t="s">
        <v>51</v>
      </c>
      <c r="I21" s="57">
        <f t="shared" ref="I21:I26" si="0">F21</f>
        <v>0</v>
      </c>
    </row>
    <row r="22" spans="1:9">
      <c r="A22" s="135" t="s">
        <v>446</v>
      </c>
      <c r="B22" s="136"/>
      <c r="C22" s="136"/>
      <c r="D22" s="136"/>
      <c r="E22" s="137"/>
      <c r="F22" s="57">
        <v>0</v>
      </c>
      <c r="G22" s="58" t="s">
        <v>51</v>
      </c>
      <c r="H22" s="58" t="s">
        <v>51</v>
      </c>
      <c r="I22" s="57">
        <f t="shared" si="0"/>
        <v>0</v>
      </c>
    </row>
    <row r="23" spans="1:9">
      <c r="A23" s="135" t="s">
        <v>449</v>
      </c>
      <c r="B23" s="136"/>
      <c r="C23" s="136"/>
      <c r="D23" s="136"/>
      <c r="E23" s="137"/>
      <c r="F23" s="57">
        <v>0</v>
      </c>
      <c r="G23" s="58" t="s">
        <v>51</v>
      </c>
      <c r="H23" s="58" t="s">
        <v>51</v>
      </c>
      <c r="I23" s="57">
        <f t="shared" si="0"/>
        <v>0</v>
      </c>
    </row>
    <row r="24" spans="1:9">
      <c r="A24" s="135" t="s">
        <v>450</v>
      </c>
      <c r="B24" s="136"/>
      <c r="C24" s="136"/>
      <c r="D24" s="136"/>
      <c r="E24" s="137"/>
      <c r="F24" s="57">
        <v>0</v>
      </c>
      <c r="G24" s="58" t="s">
        <v>51</v>
      </c>
      <c r="H24" s="58" t="s">
        <v>51</v>
      </c>
      <c r="I24" s="57">
        <f t="shared" si="0"/>
        <v>0</v>
      </c>
    </row>
    <row r="25" spans="1:9">
      <c r="A25" s="135" t="s">
        <v>452</v>
      </c>
      <c r="B25" s="136"/>
      <c r="C25" s="136"/>
      <c r="D25" s="136"/>
      <c r="E25" s="137"/>
      <c r="F25" s="57">
        <v>0</v>
      </c>
      <c r="G25" s="58" t="s">
        <v>51</v>
      </c>
      <c r="H25" s="58" t="s">
        <v>51</v>
      </c>
      <c r="I25" s="57">
        <f t="shared" si="0"/>
        <v>0</v>
      </c>
    </row>
    <row r="26" spans="1:9">
      <c r="A26" s="138" t="s">
        <v>453</v>
      </c>
      <c r="B26" s="139"/>
      <c r="C26" s="139"/>
      <c r="D26" s="139"/>
      <c r="E26" s="140"/>
      <c r="F26" s="59">
        <v>0</v>
      </c>
      <c r="G26" s="60" t="s">
        <v>51</v>
      </c>
      <c r="H26" s="60" t="s">
        <v>51</v>
      </c>
      <c r="I26" s="59">
        <f t="shared" si="0"/>
        <v>0</v>
      </c>
    </row>
    <row r="27" spans="1:9">
      <c r="A27" s="141" t="s">
        <v>481</v>
      </c>
      <c r="B27" s="142"/>
      <c r="C27" s="142"/>
      <c r="D27" s="142"/>
      <c r="E27" s="143"/>
      <c r="F27" s="61" t="s">
        <v>51</v>
      </c>
      <c r="G27" s="62" t="s">
        <v>51</v>
      </c>
      <c r="H27" s="62" t="s">
        <v>51</v>
      </c>
      <c r="I27" s="63">
        <f>SUM(I21:I26)</f>
        <v>0</v>
      </c>
    </row>
    <row r="29" spans="1:9" ht="15.75">
      <c r="A29" s="144" t="s">
        <v>482</v>
      </c>
      <c r="B29" s="145"/>
      <c r="C29" s="145"/>
      <c r="D29" s="145"/>
      <c r="E29" s="146"/>
      <c r="F29" s="147">
        <f>I18+I27</f>
        <v>0</v>
      </c>
      <c r="G29" s="148"/>
      <c r="H29" s="148"/>
      <c r="I29" s="149"/>
    </row>
    <row r="33" spans="1:9" ht="15.75">
      <c r="A33" s="131" t="s">
        <v>483</v>
      </c>
      <c r="B33" s="131"/>
      <c r="C33" s="131"/>
      <c r="D33" s="131"/>
      <c r="E33" s="131"/>
    </row>
    <row r="34" spans="1:9">
      <c r="A34" s="132" t="s">
        <v>484</v>
      </c>
      <c r="B34" s="133"/>
      <c r="C34" s="133"/>
      <c r="D34" s="133"/>
      <c r="E34" s="134"/>
      <c r="F34" s="56" t="s">
        <v>477</v>
      </c>
      <c r="G34" s="56" t="s">
        <v>478</v>
      </c>
      <c r="H34" s="56" t="s">
        <v>479</v>
      </c>
      <c r="I34" s="56" t="s">
        <v>477</v>
      </c>
    </row>
    <row r="35" spans="1:9">
      <c r="A35" s="138" t="s">
        <v>51</v>
      </c>
      <c r="B35" s="139"/>
      <c r="C35" s="139"/>
      <c r="D35" s="139"/>
      <c r="E35" s="140"/>
      <c r="F35" s="59">
        <v>0</v>
      </c>
      <c r="G35" s="60" t="s">
        <v>51</v>
      </c>
      <c r="H35" s="60" t="s">
        <v>51</v>
      </c>
      <c r="I35" s="59">
        <f>F35</f>
        <v>0</v>
      </c>
    </row>
    <row r="36" spans="1:9">
      <c r="A36" s="141" t="s">
        <v>485</v>
      </c>
      <c r="B36" s="142"/>
      <c r="C36" s="142"/>
      <c r="D36" s="142"/>
      <c r="E36" s="143"/>
      <c r="F36" s="61" t="s">
        <v>51</v>
      </c>
      <c r="G36" s="62" t="s">
        <v>51</v>
      </c>
      <c r="H36" s="62" t="s">
        <v>51</v>
      </c>
      <c r="I36" s="63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Stavební rozpočet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Kamila</cp:lastModifiedBy>
  <dcterms:created xsi:type="dcterms:W3CDTF">2021-06-10T20:06:38Z</dcterms:created>
  <dcterms:modified xsi:type="dcterms:W3CDTF">2024-11-05T13:41:24Z</dcterms:modified>
</cp:coreProperties>
</file>