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activeTab="0"/>
  </bookViews>
  <sheets>
    <sheet name="Krycí list rozpočtu" sheetId="1" r:id="rId1"/>
    <sheet name="VORN" sheetId="2" r:id="rId2"/>
    <sheet name="Rozpočet - skupiny" sheetId="3" r:id="rId3"/>
    <sheet name="Stavební rozpočet" sheetId="4" r:id="rId4"/>
    <sheet name="Výkaz výměr" sheetId="5" r:id="rId5"/>
  </sheets>
  <definedNames>
    <definedName name="vorn_sum">'VORN'!$I$34:$I$34</definedName>
  </definedNames>
  <calcPr fullCalcOnLoad="1"/>
</workbook>
</file>

<file path=xl/sharedStrings.xml><?xml version="1.0" encoding="utf-8"?>
<sst xmlns="http://schemas.openxmlformats.org/spreadsheetml/2006/main" count="1282" uniqueCount="428">
  <si>
    <t>Krycí list slepého rozpočtu</t>
  </si>
  <si>
    <t>Název stavby:</t>
  </si>
  <si>
    <t>Objednatel:</t>
  </si>
  <si>
    <t>IČ/DIČ:</t>
  </si>
  <si>
    <t>00266027/CZ00266027</t>
  </si>
  <si>
    <t>Druh stavby:</t>
  </si>
  <si>
    <t>Projektant:</t>
  </si>
  <si>
    <t>27145611/CZ27145611</t>
  </si>
  <si>
    <t>Lokalita:</t>
  </si>
  <si>
    <t>Zhotovitel:</t>
  </si>
  <si>
    <t>Začátek výstavby:</t>
  </si>
  <si>
    <t>Konec výstavby:</t>
  </si>
  <si>
    <t>Položek:</t>
  </si>
  <si>
    <t>60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</si>
  <si>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</si>
  <si>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</si>
  <si>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</si>
  <si>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</si>
  <si>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</si>
  <si>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</si>
  <si>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</si>
  <si>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</si>
  <si>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</si>
  <si>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</si>
  <si>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</si>
  <si>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</si>
  <si>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</si>
  <si>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</si>
  <si>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</si>
  <si>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</si>
  <si>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</si>
  <si>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</si>
  <si>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</si>
  <si>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</si>
  <si>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</si>
  <si>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</si>
  <si>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</si>
  <si>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</si>
  <si>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</si>
  <si>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</si>
  <si>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</si>
  <si>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</si>
  <si>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</si>
  <si>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DN celkem z obj.</t>
  </si>
  <si>
    <t>NUS celkem z obj.</t>
  </si>
  <si>
    <t>ORN celkem</t>
  </si>
  <si>
    <t>ORN celkem z obj.</t>
  </si>
  <si>
    <t>Základ 0%</t>
  </si>
  <si>
    <t>Základ 15%</t>
  </si>
  <si>
    <t>DPH 15%</t>
  </si>
  <si>
    <t>Celkem bez DPH</t>
  </si>
  <si>
    <t>Základ 21%</t>
  </si>
  <si>
    <t>DPH 21%</t>
  </si>
  <si>
    <t>Celkem včetně DPH</t>
  </si>
  <si>
    <t>Projektant</t>
  </si>
  <si>
    <t>Objednatel</t>
  </si>
  <si>
    <t>Zhotovitel</t>
  </si>
  <si>
    <t>Datum, razítko a podpis</t>
  </si>
  <si>
    <t>Poznámka:</t>
  </si>
  <si>
    <t>Pokud není uvedeno jinak oceňují se všechny položky jako součet práce a materiálu včetně pomocného a režií.</t>
  </si>
  <si>
    <t>Většina bourání chodby , výkopu a zapravení je společná pro splaškovou a tukovou kanalizaci.Je uvedena v PD splašková kanalizace.</t>
  </si>
  <si>
    <t>Vedlejší a ostatní rozpočtové náklady</t>
  </si>
  <si>
    <t>Vedlejší rozpočtové náklady VRN</t>
  </si>
  <si>
    <t>Doplňkové náklady DN</t>
  </si>
  <si>
    <t>Kč</t>
  </si>
  <si>
    <t>%</t>
  </si>
  <si>
    <t>Základna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</si>
  <si>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</si>
  <si>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</si>
  <si>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</si>
  <si>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</si>
  <si>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</si>
  <si>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</si>
  <si>
    <t>Slepý stavební rozpočet - Rekapitulace</t>
  </si>
  <si>
    <t>Doba výstavby:</t>
  </si>
  <si>
    <t>Zpracováno dne:</t>
  </si>
  <si>
    <t xml:space="preserve"> </t>
  </si>
  <si>
    <t>Náklady (Kč)</t>
  </si>
  <si>
    <t>Kód</t>
  </si>
  <si>
    <t>Zkrácený popis</t>
  </si>
  <si>
    <t>Celkem</t>
  </si>
  <si>
    <t>Nezařazeno</t>
  </si>
  <si>
    <t>F</t>
  </si>
  <si>
    <t>1</t>
  </si>
  <si>
    <t>Zemní práce</t>
  </si>
  <si>
    <t>T</t>
  </si>
  <si>
    <t>2</t>
  </si>
  <si>
    <t>Základy, zvláštní zakládání, zpevňování hornin</t>
  </si>
  <si>
    <t>3</t>
  </si>
  <si>
    <t>Svislé a kompletní konstrukce</t>
  </si>
  <si>
    <t>6</t>
  </si>
  <si>
    <t>Úpravy povrchů a osazování výplní otvorů</t>
  </si>
  <si>
    <t>71</t>
  </si>
  <si>
    <t>Izolace</t>
  </si>
  <si>
    <t>72</t>
  </si>
  <si>
    <t>Zdravotně technické instalace</t>
  </si>
  <si>
    <t>78</t>
  </si>
  <si>
    <t>Dokončovací práce</t>
  </si>
  <si>
    <t>8</t>
  </si>
  <si>
    <t>Trubní vedení</t>
  </si>
  <si>
    <t>9</t>
  </si>
  <si>
    <t>Dokončovací práce, demolice</t>
  </si>
  <si>
    <t>Celkem:</t>
  </si>
  <si>
    <t>Pokud není uvedeno jinak oceňují se všechny položky jako součet práce a materiálu včtně pomocného a režií.</t>
  </si>
  <si>
    <t>Slepý stavební rozpočet</t>
  </si>
  <si>
    <t>Výměna rozvodů tukové kanalizace na ZŠ HAMR pod objektem školní jídelny parc. č. st. 562</t>
  </si>
  <si>
    <t>Městský úřad Litvínov</t>
  </si>
  <si>
    <t>Oprava a rekonstrukce kanalizace</t>
  </si>
  <si>
    <t>MIKRO PRAHA spol. s.r.o.</t>
  </si>
  <si>
    <t>budova bez č.p./č.e. na pozemku parc. č. st. 562 v katastrální území Hamr u Litvínova, Litvínov</t>
  </si>
  <si>
    <t> </t>
  </si>
  <si>
    <t>801 86</t>
  </si>
  <si>
    <t>0</t>
  </si>
  <si>
    <t>Č</t>
  </si>
  <si>
    <t>MJ</t>
  </si>
  <si>
    <t>Množství</t>
  </si>
  <si>
    <t>Cena/MJ</t>
  </si>
  <si>
    <t>Cenová</t>
  </si>
  <si>
    <t>ISWORK</t>
  </si>
  <si>
    <t>GROUPCODE</t>
  </si>
  <si>
    <t>Rozměry</t>
  </si>
  <si>
    <t>(Kč)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</si>
  <si>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</si>
  <si>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</si>
  <si>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</si>
  <si>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</si>
  <si>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</si>
  <si>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</si>
  <si>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</si>
  <si>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</si>
  <si>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</si>
  <si>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</si>
  <si>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MAT</t>
  </si>
  <si>
    <t>WORK</t>
  </si>
  <si>
    <t>CELK</t>
  </si>
  <si>
    <t>12</t>
  </si>
  <si>
    <t>Odkopávky a prokopávky</t>
  </si>
  <si>
    <t>120001101R00</t>
  </si>
  <si>
    <t>Příplatek za ztížení vykopávky v blízkosti vedení venkovní výkop</t>
  </si>
  <si>
    <t>m3</t>
  </si>
  <si>
    <t>RTS I / 2021</t>
  </si>
  <si>
    <t>12_</t>
  </si>
  <si>
    <t>_1_</t>
  </si>
  <si>
    <t>_</t>
  </si>
  <si>
    <t>P</t>
  </si>
  <si>
    <t>120901123RT1</t>
  </si>
  <si>
    <t>Bourání konstrukcí ze železobetonu v odkopávkách starý lapol s odvozem na skládku do 20km</t>
  </si>
  <si>
    <t>13</t>
  </si>
  <si>
    <t>Hloubené vykopávky</t>
  </si>
  <si>
    <t>139711101RT3</t>
  </si>
  <si>
    <t>Vykopávka rýh v  hor.1-4 ručně</t>
  </si>
  <si>
    <t>13_</t>
  </si>
  <si>
    <t>4</t>
  </si>
  <si>
    <t>161101501R00</t>
  </si>
  <si>
    <t>Svislé přemístění výkopku z hor. 1-4 ruční</t>
  </si>
  <si>
    <t>5</t>
  </si>
  <si>
    <t>162201201R00</t>
  </si>
  <si>
    <t>Vodorovné přemíst. výkopku nošením hor.1-4, do 10m</t>
  </si>
  <si>
    <t>162201209R00</t>
  </si>
  <si>
    <t>Příplatek za dalších 10 m nošení výkopku z hor.1-4 celkem 40m</t>
  </si>
  <si>
    <t>15</t>
  </si>
  <si>
    <t>Roubení</t>
  </si>
  <si>
    <t>7</t>
  </si>
  <si>
    <t>151201101R00</t>
  </si>
  <si>
    <t>Pažení a rozepření stěn rýh - zátažné - hl. do 2 m</t>
  </si>
  <si>
    <t>m2</t>
  </si>
  <si>
    <t>15_</t>
  </si>
  <si>
    <t>151201111R00</t>
  </si>
  <si>
    <t>Odstranění pažení stěn rýh - zátažné - hl. do 2 m</t>
  </si>
  <si>
    <t>16</t>
  </si>
  <si>
    <t>Přemístění výkopku</t>
  </si>
  <si>
    <t>167101101R00</t>
  </si>
  <si>
    <t>Nakládání výkopku z hor.1-4 v množství do 100 m3</t>
  </si>
  <si>
    <t>16_</t>
  </si>
  <si>
    <t>10</t>
  </si>
  <si>
    <t>162701105R00</t>
  </si>
  <si>
    <t>Vodorovné přemístění výkopku z hor.1-4 do 10000 m</t>
  </si>
  <si>
    <t>100009</t>
  </si>
  <si>
    <t>11</t>
  </si>
  <si>
    <t>162701109R00</t>
  </si>
  <si>
    <t>Příplatek k vod. přemístění hor.1-4 za další 1 km celkem 20km</t>
  </si>
  <si>
    <t>199000007R00</t>
  </si>
  <si>
    <t>Poplatek za skládku - hor. 3  včetně uložení</t>
  </si>
  <si>
    <t>t</t>
  </si>
  <si>
    <t>17</t>
  </si>
  <si>
    <t>Konstrukce ze zemin</t>
  </si>
  <si>
    <t>175100020RA0</t>
  </si>
  <si>
    <t>Obsyp potrubí štěrkopískem</t>
  </si>
  <si>
    <t>17_</t>
  </si>
  <si>
    <t>100007</t>
  </si>
  <si>
    <t>14</t>
  </si>
  <si>
    <t>174100010RAA</t>
  </si>
  <si>
    <t>Zásyp jam, rýh a šachet sypaninou hutněný</t>
  </si>
  <si>
    <t>162100010RA01</t>
  </si>
  <si>
    <t>Vodorovné přemístění sypaniny na místo zásypu do 50 m a do 3 m výšky ručně</t>
  </si>
  <si>
    <t>18</t>
  </si>
  <si>
    <t>Povrchové úpravy terénu</t>
  </si>
  <si>
    <t>183403241R001</t>
  </si>
  <si>
    <t>Obnova starého trávníku rytím,hrabáním včetně výsevu nového trávníku</t>
  </si>
  <si>
    <t>18_</t>
  </si>
  <si>
    <t>27</t>
  </si>
  <si>
    <t>Základy</t>
  </si>
  <si>
    <t>273313621R001</t>
  </si>
  <si>
    <t>Beton základových desek prostý C 20/25 pod odlučovač tuků YG504E</t>
  </si>
  <si>
    <t>27_</t>
  </si>
  <si>
    <t>_2_</t>
  </si>
  <si>
    <t>34</t>
  </si>
  <si>
    <t>Stěny a příčky</t>
  </si>
  <si>
    <t>346244381RT21</t>
  </si>
  <si>
    <t>Zazdívka a úprava povrchů v místě napojení nové a stávající kanalizace</t>
  </si>
  <si>
    <t>ks</t>
  </si>
  <si>
    <t>34_</t>
  </si>
  <si>
    <t>_3_</t>
  </si>
  <si>
    <t>61</t>
  </si>
  <si>
    <t>Úprava povrchů vnitřní</t>
  </si>
  <si>
    <t>19</t>
  </si>
  <si>
    <t>611100010RA0</t>
  </si>
  <si>
    <t>Omítka  vnitřní vápenocementová štuková optava po zavěšené kanalizaci</t>
  </si>
  <si>
    <t>61_</t>
  </si>
  <si>
    <t>_6_</t>
  </si>
  <si>
    <t>63</t>
  </si>
  <si>
    <t>Podlahy a podlahové konstrukce</t>
  </si>
  <si>
    <t>20</t>
  </si>
  <si>
    <t>631313611RT4</t>
  </si>
  <si>
    <t>Mazanina betonová tl. 8 - 12 cm C 16/20 vyztužená ocelovými vlákny 30 kg / m3</t>
  </si>
  <si>
    <t>63_</t>
  </si>
  <si>
    <t>711</t>
  </si>
  <si>
    <t>Izolace proti vodě</t>
  </si>
  <si>
    <t>21</t>
  </si>
  <si>
    <t>711140024RAA</t>
  </si>
  <si>
    <t xml:space="preserve"> Oprava a doplnění Izolace proti vodě</t>
  </si>
  <si>
    <t>711_</t>
  </si>
  <si>
    <t>_71_</t>
  </si>
  <si>
    <t>721</t>
  </si>
  <si>
    <t>Vnitřní kanalizace</t>
  </si>
  <si>
    <t>22</t>
  </si>
  <si>
    <t>721140802R00</t>
  </si>
  <si>
    <t>Demontáž potrubí litinového do DN 125</t>
  </si>
  <si>
    <t>m</t>
  </si>
  <si>
    <t>721_</t>
  </si>
  <si>
    <t>_72_</t>
  </si>
  <si>
    <t>23</t>
  </si>
  <si>
    <t>721176232R00</t>
  </si>
  <si>
    <t>Potrubí KG svodné (ležaté) zavěšené D 110 x 3,2 mm včetně tvarovek , závěsů a těsnění</t>
  </si>
  <si>
    <t>24</t>
  </si>
  <si>
    <t>721176233R00</t>
  </si>
  <si>
    <t>Potrubí KG svodné (ležaté) zavěšené D 125 x 3,2 mm včetně tvarovek , závěsů a těsnění</t>
  </si>
  <si>
    <t>25</t>
  </si>
  <si>
    <t>721176104R00</t>
  </si>
  <si>
    <t>Potrubí HT připojovací D 75 x 1,9 mm včetně tvarovek , závěsů a těsnění</t>
  </si>
  <si>
    <t>26</t>
  </si>
  <si>
    <t>721177125R00</t>
  </si>
  <si>
    <t>Čisticí kus  D 110</t>
  </si>
  <si>
    <t>kus</t>
  </si>
  <si>
    <t>721110918R00</t>
  </si>
  <si>
    <t>Napojení kanalizace na stávající kanalizaci před objektem</t>
  </si>
  <si>
    <t>28</t>
  </si>
  <si>
    <t>721100010RAA</t>
  </si>
  <si>
    <t>Oprava potrubí  propojení nového a stávajícího potrubí</t>
  </si>
  <si>
    <t>29</t>
  </si>
  <si>
    <t>721290112R00</t>
  </si>
  <si>
    <t>Zkouška těsnosti kanalizace  do DN 200</t>
  </si>
  <si>
    <t>30</t>
  </si>
  <si>
    <t>7219991099VD</t>
  </si>
  <si>
    <t>Dokumentace skutečného provedení</t>
  </si>
  <si>
    <t>kpl</t>
  </si>
  <si>
    <t>31</t>
  </si>
  <si>
    <t>7219991098VD</t>
  </si>
  <si>
    <t>Průzkum stávajícího vedení kanalizace</t>
  </si>
  <si>
    <t>32</t>
  </si>
  <si>
    <t>721290112R001</t>
  </si>
  <si>
    <t>zabezpečení Stavající dešťové kanalizace souběžné s novým vedením splaškové a tukové kanalizace ve výkopu</t>
  </si>
  <si>
    <t>33</t>
  </si>
  <si>
    <t>Napojení kanalizaceí kanalizaci před objektem v šachtě nove Spl Kan</t>
  </si>
  <si>
    <t>72129082RLS</t>
  </si>
  <si>
    <t>D+M odlučovač tuků YG504E včetně poklopu</t>
  </si>
  <si>
    <t>soubor</t>
  </si>
  <si>
    <t>35</t>
  </si>
  <si>
    <t>721990981VD</t>
  </si>
  <si>
    <t>vyčištění  odlučovače tuků a likvidace kalů před bbouráním</t>
  </si>
  <si>
    <t>36</t>
  </si>
  <si>
    <t>721990980VD</t>
  </si>
  <si>
    <t>Provozní řád odlučovače tuků</t>
  </si>
  <si>
    <t>723</t>
  </si>
  <si>
    <t>37</t>
  </si>
  <si>
    <t>723190204R00</t>
  </si>
  <si>
    <t>D+M prostup stěnou chránička pr 130 včetně zatmelené (izolace prostupu</t>
  </si>
  <si>
    <t>723_</t>
  </si>
  <si>
    <t>784</t>
  </si>
  <si>
    <t>Malby</t>
  </si>
  <si>
    <t>38</t>
  </si>
  <si>
    <t>784011121R00</t>
  </si>
  <si>
    <t>Broušení štuků a nových omítek</t>
  </si>
  <si>
    <t>784_</t>
  </si>
  <si>
    <t>_78_</t>
  </si>
  <si>
    <t>39</t>
  </si>
  <si>
    <t>784011211RT3</t>
  </si>
  <si>
    <t>Olepování vnitřních ploch</t>
  </si>
  <si>
    <t>40</t>
  </si>
  <si>
    <t>784111101R00</t>
  </si>
  <si>
    <t>Penetrace podkladu nátěrem   1 x</t>
  </si>
  <si>
    <t>41</t>
  </si>
  <si>
    <t>784195322R00</t>
  </si>
  <si>
    <t>Malba  bez penetrace,2 x</t>
  </si>
  <si>
    <t>42</t>
  </si>
  <si>
    <t>784402801R00</t>
  </si>
  <si>
    <t>Odstranění malby oškrábáním v místnosti H do 3,8 m</t>
  </si>
  <si>
    <t>89</t>
  </si>
  <si>
    <t>Ostatní konstrukce a práce na trubním vedení</t>
  </si>
  <si>
    <t>43</t>
  </si>
  <si>
    <t>899623131R00</t>
  </si>
  <si>
    <t>Obetonování Lapolu betonem C 8/10</t>
  </si>
  <si>
    <t>89_</t>
  </si>
  <si>
    <t>_8_</t>
  </si>
  <si>
    <t>90</t>
  </si>
  <si>
    <t>Hodinové zúčtovací sazby (HZS)</t>
  </si>
  <si>
    <t>44</t>
  </si>
  <si>
    <t>900999107VD</t>
  </si>
  <si>
    <t>úprava prostor stěhování,přemístění zařízení před zahájením prací</t>
  </si>
  <si>
    <t>90_</t>
  </si>
  <si>
    <t>_9_</t>
  </si>
  <si>
    <t>94</t>
  </si>
  <si>
    <t>Lešení a stavební výtahy</t>
  </si>
  <si>
    <t>45</t>
  </si>
  <si>
    <t>941955002R00</t>
  </si>
  <si>
    <t>Lešení lehké pomocné, výška podlahy do 1,9 m</t>
  </si>
  <si>
    <t>94_</t>
  </si>
  <si>
    <t>95</t>
  </si>
  <si>
    <t>Různé dokončovací konstrukce a práce na pozemních stavbách</t>
  </si>
  <si>
    <t>46</t>
  </si>
  <si>
    <t>952901111R00</t>
  </si>
  <si>
    <t>Vyčištění budov o výšce podlaží do 4 m</t>
  </si>
  <si>
    <t>RTS II / 2015</t>
  </si>
  <si>
    <t>95_</t>
  </si>
  <si>
    <t>47</t>
  </si>
  <si>
    <t>952902110R00</t>
  </si>
  <si>
    <t>Čištění zametáním v místnostech a chodbách denní úklid</t>
  </si>
  <si>
    <t>96</t>
  </si>
  <si>
    <t>Bourání konstrukcí</t>
  </si>
  <si>
    <t>48</t>
  </si>
  <si>
    <t>965042241RT1</t>
  </si>
  <si>
    <t>Bourání mazanin betonových tl. nad 10 cm, nad 4 m2</t>
  </si>
  <si>
    <t>96_</t>
  </si>
  <si>
    <t>100002</t>
  </si>
  <si>
    <t>97</t>
  </si>
  <si>
    <t>Prorážení otvorů a ostatní bourací práce</t>
  </si>
  <si>
    <t>49</t>
  </si>
  <si>
    <t>971042461R00</t>
  </si>
  <si>
    <t>Vybourání otvorů v konstrukci cihelné a betonové pl. 0,25 m2, tl.60cm</t>
  </si>
  <si>
    <t>97_</t>
  </si>
  <si>
    <t>50</t>
  </si>
  <si>
    <t>974031164R00</t>
  </si>
  <si>
    <t>úprava a dobourání otvoru pro připojení tukové kanalizace</t>
  </si>
  <si>
    <t>H99</t>
  </si>
  <si>
    <t>Ostatní přesuny hmot</t>
  </si>
  <si>
    <t>51</t>
  </si>
  <si>
    <t>999281108R00</t>
  </si>
  <si>
    <t>Přesun hmot pro opravy a údržbu do výšky 12 m</t>
  </si>
  <si>
    <t>H99_</t>
  </si>
  <si>
    <t>M21</t>
  </si>
  <si>
    <t>Elektromontáže</t>
  </si>
  <si>
    <t>52</t>
  </si>
  <si>
    <t>210020921R00</t>
  </si>
  <si>
    <t>Ucpávka protipožární, průchod stěnou (stropem)</t>
  </si>
  <si>
    <t>M21_</t>
  </si>
  <si>
    <t>M46</t>
  </si>
  <si>
    <t>Zemní práce při montážích</t>
  </si>
  <si>
    <t>53</t>
  </si>
  <si>
    <t>460680044R00</t>
  </si>
  <si>
    <t>Průraz zdivem v betonové zdi tloušťky 60 cm</t>
  </si>
  <si>
    <t>M46_</t>
  </si>
  <si>
    <t>54</t>
  </si>
  <si>
    <t>460010024R00</t>
  </si>
  <si>
    <t>Vytýčení kabelové trasy v zastavěném prostoru</t>
  </si>
  <si>
    <t>S</t>
  </si>
  <si>
    <t>Přesuny sutí</t>
  </si>
  <si>
    <t>55</t>
  </si>
  <si>
    <t>979087313R00</t>
  </si>
  <si>
    <t>Nakládání vybouraných hmot na dopravní prostředek</t>
  </si>
  <si>
    <t>S_</t>
  </si>
  <si>
    <t>56</t>
  </si>
  <si>
    <t>979087391R00</t>
  </si>
  <si>
    <t>Příplatek za nošení suti každých dalších 10 m  (30m)</t>
  </si>
  <si>
    <t>57</t>
  </si>
  <si>
    <t>979081111RT3</t>
  </si>
  <si>
    <t>Odvoz suti a vybour. hmot na skládku do 1 km</t>
  </si>
  <si>
    <t>58</t>
  </si>
  <si>
    <t>979081121RT2</t>
  </si>
  <si>
    <t>Příplatek k odvozu za každý další 1 km (25)</t>
  </si>
  <si>
    <t>59</t>
  </si>
  <si>
    <t>979990107R00</t>
  </si>
  <si>
    <t>Poplatek za skládku suti - směs betonu,cihel,dřeva</t>
  </si>
  <si>
    <t>979011211R00</t>
  </si>
  <si>
    <t>Svislá doprava suti a vybour. hmot nošením</t>
  </si>
  <si>
    <t>Výkaz výměr</t>
  </si>
  <si>
    <t>Objekt</t>
  </si>
  <si>
    <t>Potřebné množství</t>
  </si>
  <si>
    <t>6*1,6*0,8</t>
  </si>
  <si>
    <t>2,5*2*1,5*0,2</t>
  </si>
  <si>
    <t>1,5*1,0*0,2*2</t>
  </si>
  <si>
    <t>2,5*1,0*0,2*2</t>
  </si>
  <si>
    <t>4*1,6*0,8</t>
  </si>
  <si>
    <t>2,5*1,5*1,6</t>
  </si>
  <si>
    <t>11,12</t>
  </si>
  <si>
    <t>11,12+6</t>
  </si>
  <si>
    <t>2*11,12</t>
  </si>
  <si>
    <t>7*1,6</t>
  </si>
  <si>
    <t>11,2</t>
  </si>
  <si>
    <t>6,88</t>
  </si>
  <si>
    <t>16,3</t>
  </si>
  <si>
    <t>6,88*10</t>
  </si>
  <si>
    <t>6*0,4*1,2</t>
  </si>
  <si>
    <t>2+2</t>
  </si>
  <si>
    <t>6,88+6</t>
  </si>
  <si>
    <t>4,32+4</t>
  </si>
  <si>
    <t>1,8*1,8*0,25+0,39</t>
  </si>
  <si>
    <t>0,5</t>
  </si>
  <si>
    <t>33+30+6</t>
  </si>
  <si>
    <t>29+3</t>
  </si>
  <si>
    <t>13+3</t>
  </si>
  <si>
    <t>33+29+13+6</t>
  </si>
  <si>
    <t>25,16+3,5+4,65+24+18,93</t>
  </si>
  <si>
    <t>2,2</t>
  </si>
  <si>
    <t>1000</t>
  </si>
  <si>
    <t>3*10</t>
  </si>
  <si>
    <t>5,5</t>
  </si>
  <si>
    <t>3*5,5</t>
  </si>
  <si>
    <t>25*5,5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</si>
</sst>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1">
    <font>
      <sz val="10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8"/>
      <color indexed="8"/>
      <name val="Arial"/>
      <family val="2"/>
    </font>
    <font>
      <i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1">
    <xf numFmtId="164" fontId="0" fillId="0" borderId="0" xfId="0" applyAlignment="1">
      <alignment/>
    </xf>
    <xf numFmtId="164" fontId="1" fillId="0" borderId="0" xfId="0" applyFont="1" applyAlignment="1">
      <alignment vertical="center"/>
    </xf>
    <xf numFmtId="164" fontId="1" fillId="0" borderId="1" xfId="0" applyNumberFormat="1" applyFont="1" applyFill="1" applyBorder="1" applyAlignment="1" applyProtection="1">
      <alignment/>
      <protection/>
    </xf>
    <xf numFmtId="164" fontId="1" fillId="0" borderId="2" xfId="0" applyNumberFormat="1" applyFont="1" applyFill="1" applyBorder="1" applyAlignment="1" applyProtection="1">
      <alignment vertical="center"/>
      <protection/>
    </xf>
    <xf numFmtId="164" fontId="2" fillId="0" borderId="3" xfId="0" applyNumberFormat="1" applyFont="1" applyFill="1" applyBorder="1" applyAlignment="1" applyProtection="1">
      <alignment horizontal="center" vertical="center" wrapText="1"/>
      <protection/>
    </xf>
    <xf numFmtId="164" fontId="1" fillId="0" borderId="4" xfId="0" applyNumberFormat="1" applyFont="1" applyFill="1" applyBorder="1" applyAlignment="1" applyProtection="1">
      <alignment horizontal="left" vertical="center" wrapText="1"/>
      <protection/>
    </xf>
    <xf numFmtId="164" fontId="3" fillId="0" borderId="4" xfId="0" applyNumberFormat="1" applyFont="1" applyFill="1" applyBorder="1" applyAlignment="1" applyProtection="1">
      <alignment horizontal="left" vertical="center" wrapText="1"/>
      <protection/>
    </xf>
    <xf numFmtId="165" fontId="1" fillId="0" borderId="4" xfId="0" applyNumberFormat="1" applyFont="1" applyFill="1" applyBorder="1" applyAlignment="1" applyProtection="1">
      <alignment horizontal="left" vertical="center"/>
      <protection/>
    </xf>
    <xf numFmtId="164" fontId="1" fillId="0" borderId="0" xfId="0" applyNumberFormat="1" applyFont="1" applyFill="1" applyBorder="1" applyAlignment="1" applyProtection="1">
      <alignment vertical="center"/>
      <protection/>
    </xf>
    <xf numFmtId="164" fontId="1" fillId="0" borderId="5" xfId="0" applyNumberFormat="1" applyFont="1" applyFill="1" applyBorder="1" applyAlignment="1" applyProtection="1">
      <alignment horizontal="left" vertical="center" wrapText="1"/>
      <protection/>
    </xf>
    <xf numFmtId="165" fontId="1" fillId="0" borderId="5" xfId="0" applyNumberFormat="1" applyFont="1" applyFill="1" applyBorder="1" applyAlignment="1" applyProtection="1">
      <alignment horizontal="left" vertical="center"/>
      <protection/>
    </xf>
    <xf numFmtId="165" fontId="4" fillId="0" borderId="6" xfId="0" applyNumberFormat="1" applyFont="1" applyFill="1" applyBorder="1" applyAlignment="1" applyProtection="1">
      <alignment horizontal="center" vertical="center"/>
      <protection/>
    </xf>
    <xf numFmtId="165" fontId="5" fillId="2" borderId="7" xfId="0" applyNumberFormat="1" applyFont="1" applyFill="1" applyBorder="1" applyAlignment="1" applyProtection="1">
      <alignment horizontal="center" vertical="center"/>
      <protection/>
    </xf>
    <xf numFmtId="165" fontId="6" fillId="0" borderId="5" xfId="0" applyNumberFormat="1" applyFont="1" applyFill="1" applyBorder="1" applyAlignment="1" applyProtection="1">
      <alignment horizontal="left" vertical="center"/>
      <protection/>
    </xf>
    <xf numFmtId="165" fontId="5" fillId="2" borderId="5" xfId="0" applyNumberFormat="1" applyFont="1" applyFill="1" applyBorder="1" applyAlignment="1" applyProtection="1">
      <alignment horizontal="center" vertical="center"/>
      <protection/>
    </xf>
    <xf numFmtId="165" fontId="6" fillId="0" borderId="8" xfId="0" applyNumberFormat="1" applyFont="1" applyFill="1" applyBorder="1" applyAlignment="1" applyProtection="1">
      <alignment horizontal="left" vertical="center"/>
      <protection/>
    </xf>
    <xf numFmtId="165" fontId="7" fillId="0" borderId="9" xfId="0" applyNumberFormat="1" applyFont="1" applyFill="1" applyBorder="1" applyAlignment="1" applyProtection="1">
      <alignment horizontal="left" vertical="center"/>
      <protection/>
    </xf>
    <xf numFmtId="165" fontId="8" fillId="0" borderId="5" xfId="0" applyNumberFormat="1" applyFont="1" applyFill="1" applyBorder="1" applyAlignment="1" applyProtection="1">
      <alignment horizontal="left" vertical="center"/>
      <protection/>
    </xf>
    <xf numFmtId="166" fontId="8" fillId="0" borderId="5" xfId="0" applyNumberFormat="1" applyFont="1" applyFill="1" applyBorder="1" applyAlignment="1" applyProtection="1">
      <alignment horizontal="right" vertical="center"/>
      <protection/>
    </xf>
    <xf numFmtId="166" fontId="8" fillId="0" borderId="8" xfId="0" applyNumberFormat="1" applyFont="1" applyFill="1" applyBorder="1" applyAlignment="1" applyProtection="1">
      <alignment horizontal="right" vertical="center"/>
      <protection/>
    </xf>
    <xf numFmtId="165" fontId="7" fillId="0" borderId="10" xfId="0" applyNumberFormat="1" applyFont="1" applyFill="1" applyBorder="1" applyAlignment="1" applyProtection="1">
      <alignment horizontal="left" vertical="center"/>
      <protection/>
    </xf>
    <xf numFmtId="165" fontId="8" fillId="0" borderId="5" xfId="0" applyNumberFormat="1" applyFont="1" applyFill="1" applyBorder="1" applyAlignment="1" applyProtection="1">
      <alignment horizontal="right" vertical="center"/>
      <protection/>
    </xf>
    <xf numFmtId="165" fontId="7" fillId="0" borderId="7" xfId="0" applyNumberFormat="1" applyFont="1" applyFill="1" applyBorder="1" applyAlignment="1" applyProtection="1">
      <alignment horizontal="left" vertical="center"/>
      <protection/>
    </xf>
    <xf numFmtId="165" fontId="8" fillId="0" borderId="8" xfId="0" applyNumberFormat="1" applyFont="1" applyFill="1" applyBorder="1" applyAlignment="1" applyProtection="1">
      <alignment horizontal="right" vertical="center"/>
      <protection/>
    </xf>
    <xf numFmtId="165" fontId="7" fillId="0" borderId="5" xfId="0" applyNumberFormat="1" applyFont="1" applyFill="1" applyBorder="1" applyAlignment="1" applyProtection="1">
      <alignment horizontal="left" vertical="center"/>
      <protection/>
    </xf>
    <xf numFmtId="164" fontId="1" fillId="0" borderId="11" xfId="0" applyNumberFormat="1" applyFont="1" applyFill="1" applyBorder="1" applyAlignment="1" applyProtection="1">
      <alignment vertical="center"/>
      <protection/>
    </xf>
    <xf numFmtId="164" fontId="1" fillId="0" borderId="12" xfId="0" applyNumberFormat="1" applyFont="1" applyFill="1" applyBorder="1" applyAlignment="1" applyProtection="1">
      <alignment vertical="center"/>
      <protection/>
    </xf>
    <xf numFmtId="164" fontId="1" fillId="0" borderId="13" xfId="0" applyNumberFormat="1" applyFont="1" applyFill="1" applyBorder="1" applyAlignment="1" applyProtection="1">
      <alignment vertical="center"/>
      <protection/>
    </xf>
    <xf numFmtId="164" fontId="1" fillId="0" borderId="14" xfId="0" applyFont="1" applyBorder="1" applyAlignment="1">
      <alignment vertical="center"/>
    </xf>
    <xf numFmtId="164" fontId="1" fillId="0" borderId="0" xfId="0" applyFont="1" applyBorder="1" applyAlignment="1">
      <alignment vertical="center"/>
    </xf>
    <xf numFmtId="164" fontId="1" fillId="0" borderId="15" xfId="0" applyNumberFormat="1" applyFont="1" applyFill="1" applyBorder="1" applyAlignment="1" applyProtection="1">
      <alignment vertical="center"/>
      <protection/>
    </xf>
    <xf numFmtId="164" fontId="1" fillId="0" borderId="16" xfId="0" applyNumberFormat="1" applyFont="1" applyFill="1" applyBorder="1" applyAlignment="1" applyProtection="1">
      <alignment vertical="center"/>
      <protection/>
    </xf>
    <xf numFmtId="164" fontId="1" fillId="0" borderId="17" xfId="0" applyNumberFormat="1" applyFont="1" applyFill="1" applyBorder="1" applyAlignment="1" applyProtection="1">
      <alignment vertical="center"/>
      <protection/>
    </xf>
    <xf numFmtId="164" fontId="1" fillId="0" borderId="18" xfId="0" applyNumberFormat="1" applyFont="1" applyFill="1" applyBorder="1" applyAlignment="1" applyProtection="1">
      <alignment vertical="center"/>
      <protection/>
    </xf>
    <xf numFmtId="165" fontId="7" fillId="2" borderId="19" xfId="0" applyNumberFormat="1" applyFont="1" applyFill="1" applyBorder="1" applyAlignment="1" applyProtection="1">
      <alignment horizontal="left" vertical="center"/>
      <protection/>
    </xf>
    <xf numFmtId="166" fontId="7" fillId="2" borderId="20" xfId="0" applyNumberFormat="1" applyFont="1" applyFill="1" applyBorder="1" applyAlignment="1" applyProtection="1">
      <alignment horizontal="right" vertical="center"/>
      <protection/>
    </xf>
    <xf numFmtId="164" fontId="1" fillId="0" borderId="21" xfId="0" applyNumberFormat="1" applyFont="1" applyFill="1" applyBorder="1" applyAlignment="1" applyProtection="1">
      <alignment vertical="center"/>
      <protection/>
    </xf>
    <xf numFmtId="164" fontId="1" fillId="0" borderId="22" xfId="0" applyNumberFormat="1" applyFont="1" applyFill="1" applyBorder="1" applyAlignment="1" applyProtection="1">
      <alignment vertical="center"/>
      <protection/>
    </xf>
    <xf numFmtId="165" fontId="7" fillId="2" borderId="23" xfId="0" applyNumberFormat="1" applyFont="1" applyFill="1" applyBorder="1" applyAlignment="1" applyProtection="1">
      <alignment horizontal="left" vertical="center"/>
      <protection/>
    </xf>
    <xf numFmtId="166" fontId="7" fillId="2" borderId="24" xfId="0" applyNumberFormat="1" applyFont="1" applyFill="1" applyBorder="1" applyAlignment="1" applyProtection="1">
      <alignment horizontal="right" vertical="center"/>
      <protection/>
    </xf>
    <xf numFmtId="164" fontId="1" fillId="0" borderId="25" xfId="0" applyNumberFormat="1" applyFont="1" applyFill="1" applyBorder="1" applyAlignment="1" applyProtection="1">
      <alignment vertical="center"/>
      <protection/>
    </xf>
    <xf numFmtId="164" fontId="1" fillId="0" borderId="26" xfId="0" applyNumberFormat="1" applyFont="1" applyFill="1" applyBorder="1" applyAlignment="1" applyProtection="1">
      <alignment vertical="center"/>
      <protection/>
    </xf>
    <xf numFmtId="164" fontId="1" fillId="0" borderId="27" xfId="0" applyNumberFormat="1" applyFont="1" applyFill="1" applyBorder="1" applyAlignment="1" applyProtection="1">
      <alignment vertical="center"/>
      <protection/>
    </xf>
    <xf numFmtId="165" fontId="8" fillId="0" borderId="28" xfId="0" applyNumberFormat="1" applyFont="1" applyFill="1" applyBorder="1" applyAlignment="1" applyProtection="1">
      <alignment horizontal="left" vertical="center"/>
      <protection/>
    </xf>
    <xf numFmtId="165" fontId="8" fillId="0" borderId="29" xfId="0" applyNumberFormat="1" applyFont="1" applyFill="1" applyBorder="1" applyAlignment="1" applyProtection="1">
      <alignment horizontal="left" vertical="center"/>
      <protection/>
    </xf>
    <xf numFmtId="165" fontId="8" fillId="0" borderId="30" xfId="0" applyNumberFormat="1" applyFont="1" applyFill="1" applyBorder="1" applyAlignment="1" applyProtection="1">
      <alignment horizontal="left" vertical="center"/>
      <protection/>
    </xf>
    <xf numFmtId="165" fontId="9" fillId="0" borderId="31" xfId="0" applyNumberFormat="1" applyFont="1" applyFill="1" applyBorder="1" applyAlignment="1" applyProtection="1">
      <alignment horizontal="left" vertical="center"/>
      <protection/>
    </xf>
    <xf numFmtId="164" fontId="1" fillId="0" borderId="31" xfId="0" applyNumberFormat="1" applyFont="1" applyFill="1" applyBorder="1" applyAlignment="1" applyProtection="1">
      <alignment vertical="center"/>
      <protection/>
    </xf>
    <xf numFmtId="164" fontId="1" fillId="0" borderId="0" xfId="0" applyNumberFormat="1" applyFont="1" applyFill="1" applyBorder="1" applyAlignment="1" applyProtection="1">
      <alignment horizontal="left" vertical="center" wrapText="1"/>
      <protection/>
    </xf>
    <xf numFmtId="164" fontId="1" fillId="0" borderId="14" xfId="0" applyNumberFormat="1" applyFont="1" applyFill="1" applyBorder="1" applyAlignment="1" applyProtection="1">
      <alignment horizontal="left" vertical="center" wrapText="1"/>
      <protection/>
    </xf>
    <xf numFmtId="164" fontId="3" fillId="0" borderId="0" xfId="0" applyNumberFormat="1" applyFont="1" applyFill="1" applyBorder="1" applyAlignment="1" applyProtection="1">
      <alignment horizontal="left" vertical="center" wrapText="1"/>
      <protection/>
    </xf>
    <xf numFmtId="165" fontId="1" fillId="0" borderId="32" xfId="0" applyNumberFormat="1" applyFont="1" applyFill="1" applyBorder="1" applyAlignment="1" applyProtection="1">
      <alignment horizontal="left" vertical="center"/>
      <protection/>
    </xf>
    <xf numFmtId="165" fontId="1" fillId="0" borderId="0" xfId="0" applyNumberFormat="1" applyFont="1" applyFill="1" applyBorder="1" applyAlignment="1" applyProtection="1">
      <alignment horizontal="left" vertical="center"/>
      <protection/>
    </xf>
    <xf numFmtId="164" fontId="1" fillId="0" borderId="16" xfId="0" applyNumberFormat="1" applyFont="1" applyFill="1" applyBorder="1" applyAlignment="1" applyProtection="1">
      <alignment horizontal="left" vertical="center" wrapText="1"/>
      <protection/>
    </xf>
    <xf numFmtId="164" fontId="1" fillId="0" borderId="17" xfId="0" applyNumberFormat="1" applyFont="1" applyFill="1" applyBorder="1" applyAlignment="1" applyProtection="1">
      <alignment horizontal="left" vertical="center" wrapText="1"/>
      <protection/>
    </xf>
    <xf numFmtId="165" fontId="1" fillId="0" borderId="17" xfId="0" applyNumberFormat="1" applyFont="1" applyFill="1" applyBorder="1" applyAlignment="1" applyProtection="1">
      <alignment horizontal="left" vertical="center"/>
      <protection/>
    </xf>
    <xf numFmtId="164" fontId="1" fillId="0" borderId="22" xfId="0" applyNumberFormat="1" applyFont="1" applyFill="1" applyBorder="1" applyAlignment="1" applyProtection="1">
      <alignment horizontal="left" vertical="center" wrapText="1"/>
      <protection/>
    </xf>
    <xf numFmtId="165" fontId="7" fillId="0" borderId="33" xfId="0" applyNumberFormat="1" applyFont="1" applyFill="1" applyBorder="1" applyAlignment="1" applyProtection="1">
      <alignment horizontal="left" vertical="center"/>
      <protection/>
    </xf>
    <xf numFmtId="164" fontId="1" fillId="0" borderId="34" xfId="0" applyNumberFormat="1" applyFont="1" applyFill="1" applyBorder="1" applyAlignment="1" applyProtection="1">
      <alignment vertical="center"/>
      <protection/>
    </xf>
    <xf numFmtId="164" fontId="1" fillId="0" borderId="35" xfId="0" applyNumberFormat="1" applyFont="1" applyFill="1" applyBorder="1" applyAlignment="1" applyProtection="1">
      <alignment vertical="center"/>
      <protection/>
    </xf>
    <xf numFmtId="165" fontId="3" fillId="0" borderId="36" xfId="0" applyNumberFormat="1" applyFont="1" applyFill="1" applyBorder="1" applyAlignment="1" applyProtection="1">
      <alignment horizontal="left" vertical="center"/>
      <protection/>
    </xf>
    <xf numFmtId="165" fontId="3" fillId="0" borderId="36" xfId="0" applyNumberFormat="1" applyFont="1" applyFill="1" applyBorder="1" applyAlignment="1" applyProtection="1">
      <alignment horizontal="right" vertical="center"/>
      <protection/>
    </xf>
    <xf numFmtId="165" fontId="1" fillId="0" borderId="7" xfId="0" applyNumberFormat="1" applyFont="1" applyFill="1" applyBorder="1" applyAlignment="1" applyProtection="1">
      <alignment horizontal="left" vertical="center"/>
      <protection/>
    </xf>
    <xf numFmtId="166" fontId="1" fillId="0" borderId="5" xfId="0" applyNumberFormat="1" applyFont="1" applyFill="1" applyBorder="1" applyAlignment="1" applyProtection="1">
      <alignment horizontal="right" vertical="center"/>
      <protection/>
    </xf>
    <xf numFmtId="166" fontId="1" fillId="0" borderId="8" xfId="0" applyNumberFormat="1" applyFont="1" applyFill="1" applyBorder="1" applyAlignment="1" applyProtection="1">
      <alignment horizontal="right" vertical="center"/>
      <protection/>
    </xf>
    <xf numFmtId="165" fontId="1" fillId="0" borderId="37" xfId="0" applyNumberFormat="1" applyFont="1" applyFill="1" applyBorder="1" applyAlignment="1" applyProtection="1">
      <alignment horizontal="left" vertical="center"/>
      <protection/>
    </xf>
    <xf numFmtId="166" fontId="1" fillId="0" borderId="38" xfId="0" applyNumberFormat="1" applyFont="1" applyFill="1" applyBorder="1" applyAlignment="1" applyProtection="1">
      <alignment horizontal="right" vertical="center"/>
      <protection/>
    </xf>
    <xf numFmtId="165" fontId="1" fillId="0" borderId="38" xfId="0" applyNumberFormat="1" applyFont="1" applyFill="1" applyBorder="1" applyAlignment="1" applyProtection="1">
      <alignment horizontal="left" vertical="center"/>
      <protection/>
    </xf>
    <xf numFmtId="166" fontId="1" fillId="0" borderId="39" xfId="0" applyNumberFormat="1" applyFont="1" applyFill="1" applyBorder="1" applyAlignment="1" applyProtection="1">
      <alignment horizontal="right" vertical="center"/>
      <protection/>
    </xf>
    <xf numFmtId="165" fontId="3" fillId="0" borderId="40" xfId="0" applyNumberFormat="1" applyFont="1" applyFill="1" applyBorder="1" applyAlignment="1" applyProtection="1">
      <alignment horizontal="left" vertical="center"/>
      <protection/>
    </xf>
    <xf numFmtId="165" fontId="3" fillId="0" borderId="40" xfId="0" applyNumberFormat="1" applyFont="1" applyFill="1" applyBorder="1" applyAlignment="1" applyProtection="1">
      <alignment horizontal="right" vertical="center"/>
      <protection/>
    </xf>
    <xf numFmtId="166" fontId="3" fillId="0" borderId="40" xfId="0" applyNumberFormat="1" applyFont="1" applyFill="1" applyBorder="1" applyAlignment="1" applyProtection="1">
      <alignment horizontal="right" vertical="center"/>
      <protection/>
    </xf>
    <xf numFmtId="164" fontId="1" fillId="0" borderId="1" xfId="0" applyNumberFormat="1" applyFont="1" applyFill="1" applyBorder="1" applyAlignment="1" applyProtection="1">
      <alignment vertical="center"/>
      <protection/>
    </xf>
    <xf numFmtId="164" fontId="1" fillId="0" borderId="3" xfId="0" applyNumberFormat="1" applyFont="1" applyFill="1" applyBorder="1" applyAlignment="1" applyProtection="1">
      <alignment vertical="center"/>
      <protection/>
    </xf>
    <xf numFmtId="166" fontId="1" fillId="3" borderId="5" xfId="0" applyNumberFormat="1" applyFont="1" applyFill="1" applyBorder="1" applyAlignment="1" applyProtection="1">
      <alignment horizontal="right" vertical="center"/>
      <protection locked="0"/>
    </xf>
    <xf numFmtId="166" fontId="1" fillId="3" borderId="38" xfId="0" applyNumberFormat="1" applyFont="1" applyFill="1" applyBorder="1" applyAlignment="1" applyProtection="1">
      <alignment horizontal="right" vertical="center"/>
      <protection locked="0"/>
    </xf>
    <xf numFmtId="165" fontId="7" fillId="0" borderId="40" xfId="0" applyNumberFormat="1" applyFont="1" applyFill="1" applyBorder="1" applyAlignment="1" applyProtection="1">
      <alignment horizontal="left" vertical="center"/>
      <protection/>
    </xf>
    <xf numFmtId="166" fontId="7" fillId="0" borderId="40" xfId="0" applyNumberFormat="1" applyFont="1" applyFill="1" applyBorder="1" applyAlignment="1" applyProtection="1">
      <alignment horizontal="right" vertical="center"/>
      <protection/>
    </xf>
    <xf numFmtId="164" fontId="1" fillId="0" borderId="41" xfId="0" applyNumberFormat="1" applyFont="1" applyFill="1" applyBorder="1" applyAlignment="1" applyProtection="1">
      <alignment vertical="center"/>
      <protection/>
    </xf>
    <xf numFmtId="164" fontId="1" fillId="0" borderId="42" xfId="0" applyNumberFormat="1" applyFont="1" applyFill="1" applyBorder="1" applyAlignment="1" applyProtection="1">
      <alignment vertical="center"/>
      <protection/>
    </xf>
    <xf numFmtId="166" fontId="1" fillId="0" borderId="38" xfId="0" applyNumberFormat="1" applyFont="1" applyFill="1" applyBorder="1" applyAlignment="1" applyProtection="1">
      <alignment horizontal="right" vertical="center"/>
      <protection locked="0"/>
    </xf>
    <xf numFmtId="165" fontId="2" fillId="0" borderId="17" xfId="0" applyNumberFormat="1" applyFont="1" applyFill="1" applyBorder="1" applyAlignment="1" applyProtection="1">
      <alignment horizontal="center"/>
      <protection/>
    </xf>
    <xf numFmtId="164" fontId="1" fillId="0" borderId="43" xfId="0" applyNumberFormat="1" applyFont="1" applyFill="1" applyBorder="1" applyAlignment="1" applyProtection="1">
      <alignment horizontal="left" vertical="center" wrapText="1"/>
      <protection/>
    </xf>
    <xf numFmtId="164" fontId="3" fillId="0" borderId="12" xfId="0" applyNumberFormat="1" applyFont="1" applyFill="1" applyBorder="1" applyAlignment="1" applyProtection="1">
      <alignment horizontal="left" vertical="center" wrapText="1"/>
      <protection/>
    </xf>
    <xf numFmtId="164" fontId="1" fillId="0" borderId="12" xfId="0" applyNumberFormat="1" applyFont="1" applyFill="1" applyBorder="1" applyAlignment="1" applyProtection="1">
      <alignment horizontal="left" vertical="center" wrapText="1"/>
      <protection/>
    </xf>
    <xf numFmtId="164" fontId="1" fillId="0" borderId="13" xfId="0" applyNumberFormat="1" applyFont="1" applyFill="1" applyBorder="1" applyAlignment="1" applyProtection="1">
      <alignment horizontal="left" vertical="center" wrapText="1"/>
      <protection/>
    </xf>
    <xf numFmtId="164" fontId="1" fillId="0" borderId="44" xfId="0" applyNumberFormat="1" applyFont="1" applyFill="1" applyBorder="1" applyAlignment="1" applyProtection="1">
      <alignment vertical="center"/>
      <protection/>
    </xf>
    <xf numFmtId="164" fontId="1" fillId="0" borderId="44" xfId="0" applyNumberFormat="1" applyFont="1" applyFill="1" applyBorder="1" applyAlignment="1" applyProtection="1">
      <alignment horizontal="left" vertical="center" wrapText="1"/>
      <protection/>
    </xf>
    <xf numFmtId="164" fontId="1" fillId="0" borderId="15" xfId="0" applyNumberFormat="1" applyFont="1" applyFill="1" applyBorder="1" applyAlignment="1" applyProtection="1">
      <alignment horizontal="left" vertical="center" wrapText="1"/>
      <protection/>
    </xf>
    <xf numFmtId="164" fontId="1" fillId="0" borderId="45" xfId="0" applyNumberFormat="1" applyFont="1" applyFill="1" applyBorder="1" applyAlignment="1" applyProtection="1">
      <alignment horizontal="left" vertical="center" wrapText="1"/>
      <protection/>
    </xf>
    <xf numFmtId="164" fontId="1" fillId="0" borderId="34" xfId="0" applyNumberFormat="1" applyFont="1" applyFill="1" applyBorder="1" applyAlignment="1" applyProtection="1">
      <alignment horizontal="left" vertical="center" wrapText="1"/>
      <protection/>
    </xf>
    <xf numFmtId="164" fontId="1" fillId="0" borderId="46" xfId="0" applyNumberFormat="1" applyFont="1" applyFill="1" applyBorder="1" applyAlignment="1" applyProtection="1">
      <alignment horizontal="left" vertical="center" wrapText="1"/>
      <protection/>
    </xf>
    <xf numFmtId="165" fontId="1" fillId="0" borderId="47" xfId="0" applyNumberFormat="1" applyFont="1" applyFill="1" applyBorder="1" applyAlignment="1" applyProtection="1">
      <alignment horizontal="left" vertical="center"/>
      <protection/>
    </xf>
    <xf numFmtId="165" fontId="1" fillId="0" borderId="48" xfId="0" applyNumberFormat="1" applyFont="1" applyFill="1" applyBorder="1" applyAlignment="1" applyProtection="1">
      <alignment horizontal="left" vertical="center"/>
      <protection/>
    </xf>
    <xf numFmtId="165" fontId="3" fillId="0" borderId="28" xfId="0" applyNumberFormat="1" applyFont="1" applyFill="1" applyBorder="1" applyAlignment="1" applyProtection="1">
      <alignment horizontal="center" vertical="center"/>
      <protection/>
    </xf>
    <xf numFmtId="164" fontId="1" fillId="0" borderId="14" xfId="0" applyNumberFormat="1" applyFont="1" applyFill="1" applyBorder="1" applyAlignment="1" applyProtection="1">
      <alignment vertical="center"/>
      <protection/>
    </xf>
    <xf numFmtId="165" fontId="3" fillId="0" borderId="49" xfId="0" applyNumberFormat="1" applyFont="1" applyFill="1" applyBorder="1" applyAlignment="1" applyProtection="1">
      <alignment horizontal="left" vertical="center"/>
      <protection/>
    </xf>
    <xf numFmtId="165" fontId="3" fillId="0" borderId="50" xfId="0" applyNumberFormat="1" applyFont="1" applyFill="1" applyBorder="1" applyAlignment="1" applyProtection="1">
      <alignment horizontal="left" vertical="center"/>
      <protection/>
    </xf>
    <xf numFmtId="165" fontId="3" fillId="0" borderId="51" xfId="0" applyNumberFormat="1" applyFont="1" applyFill="1" applyBorder="1" applyAlignment="1" applyProtection="1">
      <alignment horizontal="center" vertical="center"/>
      <protection/>
    </xf>
    <xf numFmtId="165" fontId="1" fillId="0" borderId="52" xfId="0" applyNumberFormat="1" applyFont="1" applyFill="1" applyBorder="1" applyAlignment="1" applyProtection="1">
      <alignment horizontal="left" vertical="center"/>
      <protection/>
    </xf>
    <xf numFmtId="165" fontId="1" fillId="0" borderId="31" xfId="0" applyNumberFormat="1" applyFont="1" applyFill="1" applyBorder="1" applyAlignment="1" applyProtection="1">
      <alignment horizontal="left" vertical="center"/>
      <protection/>
    </xf>
    <xf numFmtId="166" fontId="1" fillId="0" borderId="53" xfId="0" applyNumberFormat="1" applyFont="1" applyFill="1" applyBorder="1" applyAlignment="1" applyProtection="1">
      <alignment horizontal="right" vertical="center"/>
      <protection/>
    </xf>
    <xf numFmtId="166" fontId="1" fillId="0" borderId="44" xfId="0" applyNumberFormat="1" applyFont="1" applyFill="1" applyBorder="1" applyAlignment="1" applyProtection="1">
      <alignment horizontal="right" vertical="center"/>
      <protection/>
    </xf>
    <xf numFmtId="166" fontId="1" fillId="0" borderId="0" xfId="0" applyNumberFormat="1" applyFont="1" applyFill="1" applyBorder="1" applyAlignment="1" applyProtection="1">
      <alignment horizontal="right" vertical="center"/>
      <protection/>
    </xf>
    <xf numFmtId="165" fontId="1" fillId="0" borderId="44" xfId="0" applyNumberFormat="1" applyFont="1" applyFill="1" applyBorder="1" applyAlignment="1" applyProtection="1">
      <alignment horizontal="left" vertical="center"/>
      <protection/>
    </xf>
    <xf numFmtId="166" fontId="1" fillId="0" borderId="15" xfId="0" applyNumberFormat="1" applyFont="1" applyFill="1" applyBorder="1" applyAlignment="1" applyProtection="1">
      <alignment horizontal="right" vertical="center"/>
      <protection/>
    </xf>
    <xf numFmtId="165" fontId="1" fillId="0" borderId="21" xfId="0" applyNumberFormat="1" applyFont="1" applyFill="1" applyBorder="1" applyAlignment="1" applyProtection="1">
      <alignment horizontal="left" vertical="center"/>
      <protection/>
    </xf>
    <xf numFmtId="166" fontId="1" fillId="0" borderId="54" xfId="0" applyNumberFormat="1" applyFont="1" applyFill="1" applyBorder="1" applyAlignment="1" applyProtection="1">
      <alignment horizontal="right" vertical="center"/>
      <protection/>
    </xf>
    <xf numFmtId="165" fontId="3" fillId="0" borderId="12" xfId="0" applyNumberFormat="1" applyFont="1" applyFill="1" applyBorder="1" applyAlignment="1" applyProtection="1">
      <alignment horizontal="left" vertical="center"/>
      <protection/>
    </xf>
    <xf numFmtId="166" fontId="3" fillId="0" borderId="12" xfId="0" applyNumberFormat="1" applyFont="1" applyFill="1" applyBorder="1" applyAlignment="1" applyProtection="1">
      <alignment horizontal="right" vertical="center"/>
      <protection/>
    </xf>
    <xf numFmtId="165" fontId="9" fillId="0" borderId="0" xfId="0" applyNumberFormat="1" applyFont="1" applyFill="1" applyBorder="1" applyAlignment="1" applyProtection="1">
      <alignment horizontal="left" vertical="center"/>
      <protection/>
    </xf>
    <xf numFmtId="165" fontId="1" fillId="0" borderId="12" xfId="0" applyNumberFormat="1" applyFont="1" applyFill="1" applyBorder="1" applyAlignment="1" applyProtection="1">
      <alignment horizontal="left" vertical="center"/>
      <protection/>
    </xf>
    <xf numFmtId="165" fontId="1" fillId="3" borderId="15" xfId="0" applyNumberFormat="1" applyFont="1" applyFill="1" applyBorder="1" applyAlignment="1" applyProtection="1">
      <alignment horizontal="left" vertical="center"/>
      <protection locked="0"/>
    </xf>
    <xf numFmtId="165" fontId="1" fillId="0" borderId="34" xfId="0" applyNumberFormat="1" applyFont="1" applyFill="1" applyBorder="1" applyAlignment="1" applyProtection="1">
      <alignment horizontal="left" vertical="center"/>
      <protection/>
    </xf>
    <xf numFmtId="165" fontId="1" fillId="3" borderId="34" xfId="0" applyNumberFormat="1" applyFont="1" applyFill="1" applyBorder="1" applyAlignment="1" applyProtection="1">
      <alignment horizontal="left" vertical="center"/>
      <protection locked="0"/>
    </xf>
    <xf numFmtId="164" fontId="1" fillId="3" borderId="46" xfId="0" applyNumberFormat="1" applyFont="1" applyFill="1" applyBorder="1" applyAlignment="1" applyProtection="1">
      <alignment horizontal="left" vertical="center" wrapText="1"/>
      <protection locked="0"/>
    </xf>
    <xf numFmtId="165" fontId="3" fillId="0" borderId="47" xfId="0" applyNumberFormat="1" applyFont="1" applyFill="1" applyBorder="1" applyAlignment="1" applyProtection="1">
      <alignment horizontal="left" vertical="center"/>
      <protection/>
    </xf>
    <xf numFmtId="165" fontId="3" fillId="0" borderId="55" xfId="0" applyNumberFormat="1" applyFont="1" applyFill="1" applyBorder="1" applyAlignment="1" applyProtection="1">
      <alignment horizontal="left" vertical="center"/>
      <protection/>
    </xf>
    <xf numFmtId="165" fontId="3" fillId="0" borderId="55" xfId="0" applyNumberFormat="1" applyFont="1" applyFill="1" applyBorder="1" applyAlignment="1" applyProtection="1">
      <alignment horizontal="center" vertical="center"/>
      <protection/>
    </xf>
    <xf numFmtId="165" fontId="3" fillId="0" borderId="48" xfId="0" applyNumberFormat="1" applyFont="1" applyFill="1" applyBorder="1" applyAlignment="1" applyProtection="1">
      <alignment horizontal="center" vertical="center"/>
      <protection/>
    </xf>
    <xf numFmtId="165" fontId="3" fillId="2" borderId="0" xfId="0" applyNumberFormat="1" applyFont="1" applyFill="1" applyBorder="1" applyAlignment="1" applyProtection="1">
      <alignment horizontal="right" vertical="center"/>
      <protection/>
    </xf>
    <xf numFmtId="165" fontId="3" fillId="0" borderId="0" xfId="0" applyNumberFormat="1" applyFont="1" applyFill="1" applyBorder="1" applyAlignment="1" applyProtection="1">
      <alignment horizontal="right" vertical="center"/>
      <protection/>
    </xf>
    <xf numFmtId="165" fontId="1" fillId="0" borderId="49" xfId="0" applyNumberFormat="1" applyFont="1" applyFill="1" applyBorder="1" applyAlignment="1" applyProtection="1">
      <alignment horizontal="left" vertical="center"/>
      <protection/>
    </xf>
    <xf numFmtId="165" fontId="1" fillId="0" borderId="50" xfId="0" applyNumberFormat="1" applyFont="1" applyFill="1" applyBorder="1" applyAlignment="1" applyProtection="1">
      <alignment horizontal="left" vertical="center"/>
      <protection/>
    </xf>
    <xf numFmtId="165" fontId="3" fillId="0" borderId="50" xfId="0" applyNumberFormat="1" applyFont="1" applyFill="1" applyBorder="1" applyAlignment="1" applyProtection="1">
      <alignment horizontal="center" vertical="center"/>
      <protection/>
    </xf>
    <xf numFmtId="165" fontId="3" fillId="0" borderId="30" xfId="0" applyNumberFormat="1" applyFont="1" applyFill="1" applyBorder="1" applyAlignment="1" applyProtection="1">
      <alignment horizontal="center" vertical="center"/>
      <protection/>
    </xf>
    <xf numFmtId="165" fontId="1" fillId="2" borderId="52" xfId="0" applyNumberFormat="1" applyFont="1" applyFill="1" applyBorder="1" applyAlignment="1" applyProtection="1">
      <alignment horizontal="left" vertical="center"/>
      <protection/>
    </xf>
    <xf numFmtId="165" fontId="3" fillId="2" borderId="31" xfId="0" applyNumberFormat="1" applyFont="1" applyFill="1" applyBorder="1" applyAlignment="1" applyProtection="1">
      <alignment horizontal="left" vertical="center"/>
      <protection/>
    </xf>
    <xf numFmtId="165" fontId="1" fillId="2" borderId="31" xfId="0" applyNumberFormat="1" applyFont="1" applyFill="1" applyBorder="1" applyAlignment="1" applyProtection="1">
      <alignment horizontal="left" vertical="center"/>
      <protection/>
    </xf>
    <xf numFmtId="166" fontId="3" fillId="2" borderId="31" xfId="0" applyNumberFormat="1" applyFont="1" applyFill="1" applyBorder="1" applyAlignment="1" applyProtection="1">
      <alignment horizontal="right" vertical="center"/>
      <protection/>
    </xf>
    <xf numFmtId="165" fontId="3" fillId="2" borderId="53" xfId="0" applyNumberFormat="1" applyFont="1" applyFill="1" applyBorder="1" applyAlignment="1" applyProtection="1">
      <alignment horizontal="right" vertical="center"/>
      <protection/>
    </xf>
    <xf numFmtId="165" fontId="1" fillId="2" borderId="44" xfId="0" applyNumberFormat="1" applyFont="1" applyFill="1" applyBorder="1" applyAlignment="1" applyProtection="1">
      <alignment horizontal="left" vertical="center"/>
      <protection/>
    </xf>
    <xf numFmtId="165" fontId="3" fillId="2" borderId="0" xfId="0" applyNumberFormat="1" applyFont="1" applyFill="1" applyBorder="1" applyAlignment="1" applyProtection="1">
      <alignment horizontal="left" vertical="center"/>
      <protection/>
    </xf>
    <xf numFmtId="165" fontId="1" fillId="2" borderId="0" xfId="0" applyNumberFormat="1" applyFont="1" applyFill="1" applyBorder="1" applyAlignment="1" applyProtection="1">
      <alignment horizontal="left" vertical="center"/>
      <protection/>
    </xf>
    <xf numFmtId="166" fontId="3" fillId="2" borderId="0" xfId="0" applyNumberFormat="1" applyFont="1" applyFill="1" applyBorder="1" applyAlignment="1" applyProtection="1">
      <alignment horizontal="right" vertical="center"/>
      <protection/>
    </xf>
    <xf numFmtId="165" fontId="3" fillId="2" borderId="15" xfId="0" applyNumberFormat="1" applyFont="1" applyFill="1" applyBorder="1" applyAlignment="1" applyProtection="1">
      <alignment horizontal="right" vertical="center"/>
      <protection/>
    </xf>
    <xf numFmtId="166" fontId="1" fillId="3" borderId="0" xfId="0" applyNumberFormat="1" applyFont="1" applyFill="1" applyBorder="1" applyAlignment="1" applyProtection="1">
      <alignment horizontal="right" vertical="center"/>
      <protection locked="0"/>
    </xf>
    <xf numFmtId="165" fontId="1" fillId="0" borderId="15" xfId="0" applyNumberFormat="1" applyFont="1" applyFill="1" applyBorder="1" applyAlignment="1" applyProtection="1">
      <alignment horizontal="right" vertical="center"/>
      <protection/>
    </xf>
    <xf numFmtId="165" fontId="1" fillId="0" borderId="0" xfId="0" applyNumberFormat="1" applyFont="1" applyFill="1" applyBorder="1" applyAlignment="1" applyProtection="1">
      <alignment horizontal="right" vertical="center"/>
      <protection/>
    </xf>
    <xf numFmtId="166" fontId="1" fillId="0" borderId="17" xfId="0" applyNumberFormat="1" applyFont="1" applyFill="1" applyBorder="1" applyAlignment="1" applyProtection="1">
      <alignment horizontal="right" vertical="center"/>
      <protection/>
    </xf>
    <xf numFmtId="166" fontId="1" fillId="3" borderId="17" xfId="0" applyNumberFormat="1" applyFont="1" applyFill="1" applyBorder="1" applyAlignment="1" applyProtection="1">
      <alignment horizontal="right" vertical="center"/>
      <protection locked="0"/>
    </xf>
    <xf numFmtId="165" fontId="1" fillId="0" borderId="54" xfId="0" applyNumberFormat="1" applyFont="1" applyFill="1" applyBorder="1" applyAlignment="1" applyProtection="1">
      <alignment horizontal="right" vertical="center"/>
      <protection/>
    </xf>
    <xf numFmtId="165" fontId="3" fillId="0" borderId="56" xfId="0" applyNumberFormat="1" applyFont="1" applyFill="1" applyBorder="1" applyAlignment="1" applyProtection="1">
      <alignment horizontal="left" vertical="center"/>
      <protection/>
    </xf>
    <xf numFmtId="165" fontId="3" fillId="0" borderId="57" xfId="0" applyNumberFormat="1" applyFont="1" applyFill="1" applyBorder="1" applyAlignment="1" applyProtection="1">
      <alignment horizontal="left" vertical="center"/>
      <protection/>
    </xf>
    <xf numFmtId="165" fontId="3" fillId="0" borderId="57" xfId="0" applyNumberFormat="1" applyFont="1" applyFill="1" applyBorder="1" applyAlignment="1" applyProtection="1">
      <alignment horizontal="right" vertical="center"/>
      <protection/>
    </xf>
    <xf numFmtId="165" fontId="3" fillId="0" borderId="58" xfId="0" applyNumberFormat="1" applyFont="1" applyFill="1" applyBorder="1" applyAlignment="1" applyProtection="1">
      <alignment horizontal="left" vertical="center"/>
      <protection/>
    </xf>
    <xf numFmtId="166" fontId="1" fillId="0" borderId="31" xfId="0" applyNumberFormat="1" applyFont="1" applyFill="1" applyBorder="1" applyAlignment="1" applyProtection="1">
      <alignment horizontal="right" vertical="center"/>
      <protection/>
    </xf>
    <xf numFmtId="165" fontId="10" fillId="0" borderId="0" xfId="0" applyNumberFormat="1" applyFont="1" applyFill="1" applyBorder="1" applyAlignment="1" applyProtection="1">
      <alignment horizontal="left" vertical="center"/>
      <protection/>
    </xf>
    <xf numFmtId="166" fontId="10" fillId="0" borderId="0" xfId="0" applyNumberFormat="1" applyFont="1" applyFill="1" applyBorder="1" applyAlignment="1" applyProtection="1">
      <alignment horizontal="right" vertical="center"/>
      <protection/>
    </xf>
    <xf numFmtId="165" fontId="10" fillId="0" borderId="17" xfId="0" applyNumberFormat="1" applyFont="1" applyFill="1" applyBorder="1" applyAlignment="1" applyProtection="1">
      <alignment horizontal="left" vertical="center"/>
      <protection/>
    </xf>
    <xf numFmtId="166" fontId="10" fillId="0" borderId="17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workbookViewId="0" topLeftCell="A1">
      <selection activeCell="A38" sqref="A38"/>
    </sheetView>
  </sheetViews>
  <sheetFormatPr defaultColWidth="12.57421875" defaultRowHeight="12.75"/>
  <cols>
    <col min="1" max="1" width="9.140625" style="1" customWidth="1"/>
    <col min="2" max="2" width="12.8515625" style="1" customWidth="1"/>
    <col min="3" max="3" width="22.8515625" style="1" customWidth="1"/>
    <col min="4" max="4" width="10.00390625" style="1" customWidth="1"/>
    <col min="5" max="5" width="21.140625" style="1" customWidth="1"/>
    <col min="6" max="6" width="22.8515625" style="1" customWidth="1"/>
    <col min="7" max="7" width="9.140625" style="1" customWidth="1"/>
    <col min="8" max="8" width="12.8515625" style="1" customWidth="1"/>
    <col min="9" max="9" width="38.421875" style="1" customWidth="1"/>
    <col min="10" max="16384" width="11.57421875" style="1" customWidth="1"/>
  </cols>
  <sheetData>
    <row r="1" spans="1:9" ht="72.75" customHeight="1">
      <c r="A1" s="2"/>
      <c r="B1" s="3"/>
      <c r="C1" s="4" t="s">
        <v>0</v>
      </c>
      <c r="D1" s="4"/>
      <c r="E1" s="4"/>
      <c r="F1" s="4"/>
      <c r="G1" s="4"/>
      <c r="H1" s="4"/>
      <c r="I1" s="4"/>
    </row>
    <row r="2" spans="1:10" ht="12.75" customHeight="1">
      <c r="A2" s="5" t="s">
        <v>1</v>
      </c>
      <c r="B2" s="5"/>
      <c r="C2" s="6" t="str">
        <f>'Stavební rozpočet'!C2</f>
        <v>Výměna rozvodů tukové kanalizace na ZŠ HAMR pod objektem školní jídelny parc. č. st. 562</v>
      </c>
      <c r="D2" s="6"/>
      <c r="E2" s="5" t="s">
        <v>2</v>
      </c>
      <c r="F2" s="5" t="str">
        <f>'Stavební rozpočet'!I2</f>
        <v>Městský úřad Litvínov</v>
      </c>
      <c r="G2" s="5"/>
      <c r="H2" s="5" t="s">
        <v>3</v>
      </c>
      <c r="I2" s="7" t="s">
        <v>4</v>
      </c>
      <c r="J2" s="8"/>
    </row>
    <row r="3" spans="1:10" ht="38.25" customHeight="1">
      <c r="A3" s="5"/>
      <c r="B3" s="5"/>
      <c r="C3" s="6"/>
      <c r="D3" s="6"/>
      <c r="E3" s="5"/>
      <c r="F3" s="5"/>
      <c r="G3" s="5"/>
      <c r="H3" s="5"/>
      <c r="I3" s="5"/>
      <c r="J3" s="8"/>
    </row>
    <row r="4" spans="1:10" ht="12.75" customHeight="1">
      <c r="A4" s="9" t="s">
        <v>5</v>
      </c>
      <c r="B4" s="9"/>
      <c r="C4" s="9" t="str">
        <f>'Stavební rozpočet'!C4</f>
        <v>Oprava a rekonstrukce kanalizace</v>
      </c>
      <c r="D4" s="9"/>
      <c r="E4" s="9" t="s">
        <v>6</v>
      </c>
      <c r="F4" s="9" t="str">
        <f>'Stavební rozpočet'!I4</f>
        <v>MIKRO PRAHA spol. s.r.o.</v>
      </c>
      <c r="G4" s="9"/>
      <c r="H4" s="9" t="s">
        <v>3</v>
      </c>
      <c r="I4" s="10" t="s">
        <v>7</v>
      </c>
      <c r="J4" s="8"/>
    </row>
    <row r="5" spans="1:10" ht="12.75">
      <c r="A5" s="9"/>
      <c r="B5" s="9"/>
      <c r="C5" s="9"/>
      <c r="D5" s="9"/>
      <c r="E5" s="9"/>
      <c r="F5" s="9"/>
      <c r="G5" s="9"/>
      <c r="H5" s="9"/>
      <c r="I5" s="9"/>
      <c r="J5" s="8"/>
    </row>
    <row r="6" spans="1:10" ht="12.75" customHeight="1">
      <c r="A6" s="9" t="s">
        <v>8</v>
      </c>
      <c r="B6" s="9"/>
      <c r="C6" s="9" t="str">
        <f>'Stavební rozpočet'!C6</f>
        <v>budova bez č.p./č.e. na pozemku parc. č. st. 562 v katastrální území Hamr u Litvínova, Litvínov</v>
      </c>
      <c r="D6" s="9"/>
      <c r="E6" s="9" t="s">
        <v>9</v>
      </c>
      <c r="F6" s="9" t="str">
        <f>'Stavební rozpočet'!I6</f>
        <v> </v>
      </c>
      <c r="G6" s="9"/>
      <c r="H6" s="9" t="s">
        <v>3</v>
      </c>
      <c r="I6" s="10"/>
      <c r="J6" s="8"/>
    </row>
    <row r="7" spans="1:10" ht="25.5" customHeight="1">
      <c r="A7" s="9"/>
      <c r="B7" s="9"/>
      <c r="C7" s="9"/>
      <c r="D7" s="9"/>
      <c r="E7" s="9"/>
      <c r="F7" s="9"/>
      <c r="G7" s="9"/>
      <c r="H7" s="9"/>
      <c r="I7" s="9"/>
      <c r="J7" s="8"/>
    </row>
    <row r="8" spans="1:10" ht="12.75" customHeight="1">
      <c r="A8" s="9" t="s">
        <v>10</v>
      </c>
      <c r="B8" s="9"/>
      <c r="C8" s="9" t="str">
        <f>'Stavební rozpočet'!G4</f>
        <v> </v>
      </c>
      <c r="D8" s="9"/>
      <c r="E8" s="9" t="s">
        <v>11</v>
      </c>
      <c r="F8" s="9" t="str">
        <f>'Stavební rozpočet'!G6</f>
        <v> </v>
      </c>
      <c r="G8" s="9"/>
      <c r="H8" s="10" t="s">
        <v>12</v>
      </c>
      <c r="I8" s="10" t="s">
        <v>13</v>
      </c>
      <c r="J8" s="8"/>
    </row>
    <row r="9" spans="1:10" ht="12.75">
      <c r="A9" s="9"/>
      <c r="B9" s="9"/>
      <c r="C9" s="9"/>
      <c r="D9" s="9"/>
      <c r="E9" s="9"/>
      <c r="F9" s="9"/>
      <c r="G9" s="9"/>
      <c r="H9" s="10"/>
      <c r="I9" s="10"/>
      <c r="J9" s="8"/>
    </row>
    <row r="10" spans="1:10" ht="12.75" customHeight="1">
      <c r="A10" s="9" t="s">
        <v>14</v>
      </c>
      <c r="B10" s="9"/>
      <c r="C10" s="9" t="str">
        <f>'Stavební rozpočet'!C8</f>
        <v>801 86</v>
      </c>
      <c r="D10" s="9"/>
      <c r="E10" s="9" t="s">
        <v>15</v>
      </c>
      <c r="F10" s="9">
        <f>'Stavební rozpočet'!I8</f>
        <v>0</v>
      </c>
      <c r="G10" s="9"/>
      <c r="H10" s="10" t="s">
        <v>16</v>
      </c>
      <c r="I10" s="9" t="str">
        <f>'Stavební rozpočet'!G8</f>
        <v>0</v>
      </c>
      <c r="J10" s="8"/>
    </row>
    <row r="11" spans="1:10" ht="12.75">
      <c r="A11" s="9"/>
      <c r="B11" s="9"/>
      <c r="C11" s="9"/>
      <c r="D11" s="9"/>
      <c r="E11" s="9"/>
      <c r="F11" s="9"/>
      <c r="G11" s="9"/>
      <c r="H11" s="10"/>
      <c r="I11" s="10"/>
      <c r="J11" s="8"/>
    </row>
    <row r="12" spans="1:9" ht="23.25" customHeight="1">
      <c r="A12" s="11" t="s">
        <v>17</v>
      </c>
      <c r="B12" s="11"/>
      <c r="C12" s="11"/>
      <c r="D12" s="11"/>
      <c r="E12" s="11"/>
      <c r="F12" s="11"/>
      <c r="G12" s="11"/>
      <c r="H12" s="11"/>
      <c r="I12" s="11"/>
    </row>
    <row r="13" spans="1:10" ht="26.25" customHeight="1">
      <c r="A13" s="12" t="s">
        <v>18</v>
      </c>
      <c r="B13" s="13" t="s">
        <v>19</v>
      </c>
      <c r="C13" s="13"/>
      <c r="D13" s="14" t="s">
        <v>20</v>
      </c>
      <c r="E13" s="13" t="s">
        <v>21</v>
      </c>
      <c r="F13" s="13"/>
      <c r="G13" s="14" t="s">
        <v>22</v>
      </c>
      <c r="H13" s="15" t="s">
        <v>23</v>
      </c>
      <c r="I13" s="15"/>
      <c r="J13" s="8"/>
    </row>
    <row r="14" spans="1:10" ht="15" customHeight="1">
      <c r="A14" s="16" t="s">
        <v>24</v>
      </c>
      <c r="B14" s="17" t="s">
        <v>25</v>
      </c>
      <c r="C14" s="18">
        <f>SUM('Stavební rozpočet'!AB12:AB96)</f>
        <v>0</v>
      </c>
      <c r="D14" s="17" t="s">
        <v>26</v>
      </c>
      <c r="E14" s="17"/>
      <c r="F14" s="18">
        <f>VORN!I15</f>
        <v>0</v>
      </c>
      <c r="G14" s="17" t="s">
        <v>27</v>
      </c>
      <c r="H14" s="17"/>
      <c r="I14" s="19">
        <f>VORN!I21</f>
        <v>0</v>
      </c>
      <c r="J14" s="8"/>
    </row>
    <row r="15" spans="1:10" ht="15" customHeight="1">
      <c r="A15" s="20"/>
      <c r="B15" s="17" t="s">
        <v>28</v>
      </c>
      <c r="C15" s="18">
        <f>SUM('Stavební rozpočet'!AC12:AC96)</f>
        <v>0</v>
      </c>
      <c r="D15" s="17" t="s">
        <v>29</v>
      </c>
      <c r="E15" s="17"/>
      <c r="F15" s="18">
        <f>VORN!I16</f>
        <v>0</v>
      </c>
      <c r="G15" s="17" t="s">
        <v>30</v>
      </c>
      <c r="H15" s="17"/>
      <c r="I15" s="19">
        <f>VORN!I22</f>
        <v>0</v>
      </c>
      <c r="J15" s="8"/>
    </row>
    <row r="16" spans="1:10" ht="15" customHeight="1">
      <c r="A16" s="16" t="s">
        <v>31</v>
      </c>
      <c r="B16" s="17" t="s">
        <v>25</v>
      </c>
      <c r="C16" s="18">
        <f>SUM('Stavební rozpočet'!AD12:AD96)</f>
        <v>0</v>
      </c>
      <c r="D16" s="17" t="s">
        <v>32</v>
      </c>
      <c r="E16" s="17"/>
      <c r="F16" s="18">
        <f>VORN!I17</f>
        <v>0</v>
      </c>
      <c r="G16" s="17" t="s">
        <v>33</v>
      </c>
      <c r="H16" s="17"/>
      <c r="I16" s="19">
        <f>VORN!I23</f>
        <v>0</v>
      </c>
      <c r="J16" s="8"/>
    </row>
    <row r="17" spans="1:10" ht="15" customHeight="1">
      <c r="A17" s="20"/>
      <c r="B17" s="17" t="s">
        <v>28</v>
      </c>
      <c r="C17" s="18">
        <f>SUM('Stavební rozpočet'!AE12:AE96)</f>
        <v>0</v>
      </c>
      <c r="D17" s="17"/>
      <c r="E17" s="17"/>
      <c r="F17" s="21"/>
      <c r="G17" s="17" t="s">
        <v>34</v>
      </c>
      <c r="H17" s="17"/>
      <c r="I17" s="19">
        <f>VORN!I24</f>
        <v>0</v>
      </c>
      <c r="J17" s="8"/>
    </row>
    <row r="18" spans="1:10" ht="15" customHeight="1">
      <c r="A18" s="16" t="s">
        <v>35</v>
      </c>
      <c r="B18" s="17" t="s">
        <v>25</v>
      </c>
      <c r="C18" s="18">
        <f>SUM('Stavební rozpočet'!AF12:AF96)</f>
        <v>0</v>
      </c>
      <c r="D18" s="17"/>
      <c r="E18" s="17"/>
      <c r="F18" s="21"/>
      <c r="G18" s="17" t="s">
        <v>36</v>
      </c>
      <c r="H18" s="17"/>
      <c r="I18" s="19">
        <f>VORN!I25</f>
        <v>0</v>
      </c>
      <c r="J18" s="8"/>
    </row>
    <row r="19" spans="1:10" ht="15" customHeight="1">
      <c r="A19" s="20"/>
      <c r="B19" s="17" t="s">
        <v>28</v>
      </c>
      <c r="C19" s="18">
        <f>SUM('Stavební rozpočet'!AG12:AG96)</f>
        <v>0</v>
      </c>
      <c r="D19" s="17"/>
      <c r="E19" s="17"/>
      <c r="F19" s="21"/>
      <c r="G19" s="17" t="s">
        <v>37</v>
      </c>
      <c r="H19" s="17"/>
      <c r="I19" s="19">
        <f>VORN!I26</f>
        <v>0</v>
      </c>
      <c r="J19" s="8"/>
    </row>
    <row r="20" spans="1:10" ht="15" customHeight="1">
      <c r="A20" s="22" t="s">
        <v>38</v>
      </c>
      <c r="B20" s="22"/>
      <c r="C20" s="18">
        <f>SUM('Stavební rozpočet'!AH12:AH96)</f>
        <v>0</v>
      </c>
      <c r="D20" s="17"/>
      <c r="E20" s="17"/>
      <c r="F20" s="21"/>
      <c r="G20" s="17"/>
      <c r="H20" s="17"/>
      <c r="I20" s="23"/>
      <c r="J20" s="8"/>
    </row>
    <row r="21" spans="1:10" ht="15" customHeight="1">
      <c r="A21" s="22" t="s">
        <v>39</v>
      </c>
      <c r="B21" s="22"/>
      <c r="C21" s="18">
        <f>SUM('Stavební rozpočet'!Z12:Z96)</f>
        <v>0</v>
      </c>
      <c r="D21" s="17"/>
      <c r="E21" s="17"/>
      <c r="F21" s="21"/>
      <c r="G21" s="17"/>
      <c r="H21" s="17"/>
      <c r="I21" s="23"/>
      <c r="J21" s="8"/>
    </row>
    <row r="22" spans="1:10" ht="16.5" customHeight="1">
      <c r="A22" s="22" t="s">
        <v>40</v>
      </c>
      <c r="B22" s="22"/>
      <c r="C22" s="18">
        <f>SUM(C14:C21)</f>
        <v>0</v>
      </c>
      <c r="D22" s="24" t="s">
        <v>41</v>
      </c>
      <c r="E22" s="24"/>
      <c r="F22" s="18">
        <f>SUM(F14:F21)</f>
        <v>0</v>
      </c>
      <c r="G22" s="24" t="s">
        <v>42</v>
      </c>
      <c r="H22" s="24"/>
      <c r="I22" s="19">
        <f>SUM(I14:I21)</f>
        <v>0</v>
      </c>
      <c r="J22" s="8"/>
    </row>
    <row r="23" spans="1:10" ht="15" customHeight="1">
      <c r="A23" s="25"/>
      <c r="B23" s="26"/>
      <c r="C23" s="27"/>
      <c r="D23" s="24" t="s">
        <v>43</v>
      </c>
      <c r="E23" s="24"/>
      <c r="F23" s="18">
        <v>0</v>
      </c>
      <c r="G23" s="24" t="s">
        <v>44</v>
      </c>
      <c r="H23" s="24"/>
      <c r="I23" s="19">
        <v>0</v>
      </c>
      <c r="J23" s="8"/>
    </row>
    <row r="24" spans="1:10" ht="15" customHeight="1">
      <c r="A24" s="28"/>
      <c r="B24" s="29"/>
      <c r="C24" s="29"/>
      <c r="D24" s="26"/>
      <c r="E24" s="26"/>
      <c r="F24" s="30"/>
      <c r="G24" s="24" t="s">
        <v>45</v>
      </c>
      <c r="H24" s="24"/>
      <c r="I24" s="19">
        <f>vorn_sum</f>
        <v>0</v>
      </c>
      <c r="J24" s="8"/>
    </row>
    <row r="25" spans="1:10" ht="15" customHeight="1">
      <c r="A25" s="28"/>
      <c r="B25" s="29"/>
      <c r="C25" s="29"/>
      <c r="D25" s="29"/>
      <c r="E25" s="29"/>
      <c r="F25" s="30"/>
      <c r="G25" s="24" t="s">
        <v>46</v>
      </c>
      <c r="H25" s="24"/>
      <c r="I25" s="19">
        <v>0</v>
      </c>
      <c r="J25" s="8"/>
    </row>
    <row r="26" spans="1:9" ht="12.75">
      <c r="A26" s="31"/>
      <c r="B26" s="32"/>
      <c r="C26" s="32"/>
      <c r="D26" s="29"/>
      <c r="E26" s="29"/>
      <c r="F26" s="29"/>
      <c r="G26" s="26"/>
      <c r="H26" s="26"/>
      <c r="I26" s="33"/>
    </row>
    <row r="27" spans="1:9" ht="15" customHeight="1">
      <c r="A27" s="34" t="s">
        <v>47</v>
      </c>
      <c r="B27" s="34"/>
      <c r="C27" s="35">
        <f>SUM('Stavební rozpočet'!AJ12:AJ96)</f>
        <v>0</v>
      </c>
      <c r="D27" s="36"/>
      <c r="E27" s="32"/>
      <c r="F27" s="32"/>
      <c r="G27" s="32"/>
      <c r="H27" s="32"/>
      <c r="I27" s="37"/>
    </row>
    <row r="28" spans="1:10" ht="15" customHeight="1">
      <c r="A28" s="34" t="s">
        <v>48</v>
      </c>
      <c r="B28" s="34"/>
      <c r="C28" s="35">
        <f>SUM('Stavební rozpočet'!AK12:AK96)</f>
        <v>0</v>
      </c>
      <c r="D28" s="38" t="s">
        <v>49</v>
      </c>
      <c r="E28" s="38"/>
      <c r="F28" s="35">
        <f>ROUND(C28*(15/100),2)</f>
        <v>0</v>
      </c>
      <c r="G28" s="38" t="s">
        <v>50</v>
      </c>
      <c r="H28" s="38"/>
      <c r="I28" s="39">
        <f>SUM(C27:C29)</f>
        <v>0</v>
      </c>
      <c r="J28" s="8"/>
    </row>
    <row r="29" spans="1:10" ht="15" customHeight="1">
      <c r="A29" s="34" t="s">
        <v>51</v>
      </c>
      <c r="B29" s="34"/>
      <c r="C29" s="35">
        <f>SUM('Stavební rozpočet'!AL12:AL96)+(F22+I22+F23+I23+I24+I25)</f>
        <v>0</v>
      </c>
      <c r="D29" s="38" t="s">
        <v>52</v>
      </c>
      <c r="E29" s="38"/>
      <c r="F29" s="35">
        <f>ROUND(C29*(21/100),2)</f>
        <v>0</v>
      </c>
      <c r="G29" s="38" t="s">
        <v>53</v>
      </c>
      <c r="H29" s="38"/>
      <c r="I29" s="39">
        <f>SUM(F28:F29)+I28</f>
        <v>0</v>
      </c>
      <c r="J29" s="8"/>
    </row>
    <row r="30" spans="1:9" ht="12.75">
      <c r="A30" s="40"/>
      <c r="B30" s="41"/>
      <c r="C30" s="41"/>
      <c r="D30" s="41"/>
      <c r="E30" s="41"/>
      <c r="F30" s="41"/>
      <c r="G30" s="41"/>
      <c r="H30" s="41"/>
      <c r="I30" s="42"/>
    </row>
    <row r="31" spans="1:10" ht="14.25" customHeight="1">
      <c r="A31" s="43" t="s">
        <v>54</v>
      </c>
      <c r="B31" s="43"/>
      <c r="C31" s="43"/>
      <c r="D31" s="43" t="s">
        <v>55</v>
      </c>
      <c r="E31" s="43"/>
      <c r="F31" s="43"/>
      <c r="G31" s="43" t="s">
        <v>56</v>
      </c>
      <c r="H31" s="43"/>
      <c r="I31" s="43"/>
      <c r="J31" s="8"/>
    </row>
    <row r="32" spans="1:10" ht="14.25" customHeight="1">
      <c r="A32" s="44"/>
      <c r="B32" s="44"/>
      <c r="C32" s="44"/>
      <c r="D32" s="44"/>
      <c r="E32" s="44"/>
      <c r="F32" s="44"/>
      <c r="G32" s="44"/>
      <c r="H32" s="44"/>
      <c r="I32" s="44"/>
      <c r="J32" s="8"/>
    </row>
    <row r="33" spans="1:10" ht="14.25" customHeight="1">
      <c r="A33" s="44"/>
      <c r="B33" s="44"/>
      <c r="C33" s="44"/>
      <c r="D33" s="44"/>
      <c r="E33" s="44"/>
      <c r="F33" s="44"/>
      <c r="G33" s="44"/>
      <c r="H33" s="44"/>
      <c r="I33" s="44"/>
      <c r="J33" s="8"/>
    </row>
    <row r="34" spans="1:10" ht="14.25" customHeight="1">
      <c r="A34" s="44"/>
      <c r="B34" s="44"/>
      <c r="C34" s="44"/>
      <c r="D34" s="44"/>
      <c r="E34" s="44"/>
      <c r="F34" s="44"/>
      <c r="G34" s="44"/>
      <c r="H34" s="44"/>
      <c r="I34" s="44"/>
      <c r="J34" s="8"/>
    </row>
    <row r="35" spans="1:10" ht="14.25" customHeight="1">
      <c r="A35" s="45" t="s">
        <v>57</v>
      </c>
      <c r="B35" s="45"/>
      <c r="C35" s="45"/>
      <c r="D35" s="45" t="s">
        <v>57</v>
      </c>
      <c r="E35" s="45"/>
      <c r="F35" s="45"/>
      <c r="G35" s="45" t="s">
        <v>57</v>
      </c>
      <c r="H35" s="45"/>
      <c r="I35" s="45"/>
      <c r="J35" s="8"/>
    </row>
    <row r="36" spans="1:9" ht="11.25" customHeight="1">
      <c r="A36" s="46" t="s">
        <v>58</v>
      </c>
      <c r="B36" s="47"/>
      <c r="C36" s="47"/>
      <c r="D36" s="47"/>
      <c r="E36" s="47"/>
      <c r="F36" s="47"/>
      <c r="G36" s="47"/>
      <c r="H36" s="47"/>
      <c r="I36" s="47"/>
    </row>
    <row r="37" spans="1:9" ht="12.75" customHeight="1">
      <c r="A37" s="48" t="s">
        <v>59</v>
      </c>
      <c r="B37" s="48"/>
      <c r="C37" s="48"/>
      <c r="D37" s="48"/>
      <c r="E37" s="48"/>
      <c r="F37" s="48"/>
      <c r="G37" s="48"/>
      <c r="H37" s="48"/>
      <c r="I37" s="48"/>
    </row>
    <row r="38" ht="12.75">
      <c r="A38" s="1" t="s">
        <v>60</v>
      </c>
    </row>
  </sheetData>
  <sheetProtection sheet="1"/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4:C34"/>
    <mergeCell ref="D34:F34"/>
    <mergeCell ref="G34:I34"/>
    <mergeCell ref="A35:C35"/>
    <mergeCell ref="D35:F35"/>
    <mergeCell ref="G35:I35"/>
    <mergeCell ref="A37:I37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workbookViewId="0" topLeftCell="A4">
      <selection activeCell="G22" sqref="G22"/>
    </sheetView>
  </sheetViews>
  <sheetFormatPr defaultColWidth="12.57421875" defaultRowHeight="12.75"/>
  <cols>
    <col min="1" max="1" width="9.140625" style="1" customWidth="1"/>
    <col min="2" max="2" width="12.8515625" style="1" customWidth="1"/>
    <col min="3" max="3" width="22.8515625" style="1" customWidth="1"/>
    <col min="4" max="4" width="10.00390625" style="1" customWidth="1"/>
    <col min="5" max="5" width="14.00390625" style="1" customWidth="1"/>
    <col min="6" max="6" width="22.8515625" style="1" customWidth="1"/>
    <col min="7" max="7" width="9.140625" style="1" customWidth="1"/>
    <col min="8" max="8" width="17.140625" style="1" customWidth="1"/>
    <col min="9" max="9" width="22.8515625" style="1" customWidth="1"/>
    <col min="10" max="16384" width="11.57421875" style="1" customWidth="1"/>
  </cols>
  <sheetData>
    <row r="1" spans="1:9" ht="39" customHeight="1">
      <c r="A1" s="2"/>
      <c r="B1" s="3"/>
      <c r="C1" s="4" t="s">
        <v>61</v>
      </c>
      <c r="D1" s="4"/>
      <c r="E1" s="4"/>
      <c r="F1" s="4"/>
      <c r="G1" s="4"/>
      <c r="H1" s="4"/>
      <c r="I1" s="4"/>
    </row>
    <row r="2" spans="1:10" ht="12.75" customHeight="1">
      <c r="A2" s="49" t="s">
        <v>1</v>
      </c>
      <c r="B2" s="49"/>
      <c r="C2" s="50">
        <f>'Stavební rozpočet'!C2</f>
        <v>0</v>
      </c>
      <c r="D2" s="50"/>
      <c r="E2" s="48" t="s">
        <v>2</v>
      </c>
      <c r="F2" s="48">
        <f>'Stavební rozpočet'!I2</f>
        <v>0</v>
      </c>
      <c r="G2" s="48"/>
      <c r="H2" s="48" t="s">
        <v>3</v>
      </c>
      <c r="I2" s="51" t="s">
        <v>4</v>
      </c>
      <c r="J2" s="8"/>
    </row>
    <row r="3" spans="1:10" ht="38.25" customHeight="1">
      <c r="A3" s="49"/>
      <c r="B3" s="49"/>
      <c r="C3" s="50"/>
      <c r="D3" s="50"/>
      <c r="E3" s="48"/>
      <c r="F3" s="48"/>
      <c r="G3" s="48"/>
      <c r="H3" s="48"/>
      <c r="I3" s="51"/>
      <c r="J3" s="8"/>
    </row>
    <row r="4" spans="1:10" ht="12.75" customHeight="1">
      <c r="A4" s="49" t="s">
        <v>5</v>
      </c>
      <c r="B4" s="49"/>
      <c r="C4" s="48">
        <f>'Stavební rozpočet'!C4</f>
        <v>0</v>
      </c>
      <c r="D4" s="48"/>
      <c r="E4" s="48" t="s">
        <v>6</v>
      </c>
      <c r="F4" s="48">
        <f>'Stavební rozpočet'!I4</f>
        <v>0</v>
      </c>
      <c r="G4" s="48"/>
      <c r="H4" s="48" t="s">
        <v>3</v>
      </c>
      <c r="I4" s="51" t="s">
        <v>7</v>
      </c>
      <c r="J4" s="8"/>
    </row>
    <row r="5" spans="1:10" ht="12.75">
      <c r="A5" s="49"/>
      <c r="B5" s="49"/>
      <c r="C5" s="48"/>
      <c r="D5" s="48"/>
      <c r="E5" s="48"/>
      <c r="F5" s="48"/>
      <c r="G5" s="48"/>
      <c r="H5" s="48"/>
      <c r="I5" s="51"/>
      <c r="J5" s="8"/>
    </row>
    <row r="6" spans="1:10" ht="12.75" customHeight="1">
      <c r="A6" s="49" t="s">
        <v>8</v>
      </c>
      <c r="B6" s="49"/>
      <c r="C6" s="48">
        <f>'Stavební rozpočet'!C6</f>
        <v>0</v>
      </c>
      <c r="D6" s="48"/>
      <c r="E6" s="48" t="s">
        <v>9</v>
      </c>
      <c r="F6" s="48">
        <f>'Stavební rozpočet'!I6</f>
        <v>0</v>
      </c>
      <c r="G6" s="48"/>
      <c r="H6" s="48" t="s">
        <v>3</v>
      </c>
      <c r="I6" s="51"/>
      <c r="J6" s="8"/>
    </row>
    <row r="7" spans="1:10" ht="25.5" customHeight="1">
      <c r="A7" s="49"/>
      <c r="B7" s="49"/>
      <c r="C7" s="48"/>
      <c r="D7" s="48"/>
      <c r="E7" s="48"/>
      <c r="F7" s="48"/>
      <c r="G7" s="48"/>
      <c r="H7" s="48"/>
      <c r="I7" s="51"/>
      <c r="J7" s="8"/>
    </row>
    <row r="8" spans="1:10" ht="12.75" customHeight="1">
      <c r="A8" s="49" t="s">
        <v>10</v>
      </c>
      <c r="B8" s="49"/>
      <c r="C8" s="48">
        <f>'Stavební rozpočet'!G4</f>
        <v>0</v>
      </c>
      <c r="D8" s="48"/>
      <c r="E8" s="48" t="s">
        <v>11</v>
      </c>
      <c r="F8" s="48">
        <f>'Stavební rozpočet'!G6</f>
        <v>0</v>
      </c>
      <c r="G8" s="48"/>
      <c r="H8" s="52" t="s">
        <v>12</v>
      </c>
      <c r="I8" s="51" t="s">
        <v>13</v>
      </c>
      <c r="J8" s="8"/>
    </row>
    <row r="9" spans="1:10" ht="12.75">
      <c r="A9" s="49"/>
      <c r="B9" s="49"/>
      <c r="C9" s="48"/>
      <c r="D9" s="48"/>
      <c r="E9" s="48"/>
      <c r="F9" s="48"/>
      <c r="G9" s="48"/>
      <c r="H9" s="52"/>
      <c r="I9" s="51"/>
      <c r="J9" s="8"/>
    </row>
    <row r="10" spans="1:10" ht="12.75" customHeight="1">
      <c r="A10" s="53" t="s">
        <v>14</v>
      </c>
      <c r="B10" s="53"/>
      <c r="C10" s="54">
        <f>'Stavební rozpočet'!C8</f>
        <v>0</v>
      </c>
      <c r="D10" s="54"/>
      <c r="E10" s="54" t="s">
        <v>15</v>
      </c>
      <c r="F10" s="54">
        <f>'Stavební rozpočet'!I8</f>
        <v>0</v>
      </c>
      <c r="G10" s="54"/>
      <c r="H10" s="55" t="s">
        <v>16</v>
      </c>
      <c r="I10" s="56">
        <f>'Stavební rozpočet'!G8</f>
        <v>0</v>
      </c>
      <c r="J10" s="8"/>
    </row>
    <row r="11" spans="1:10" ht="12.75">
      <c r="A11" s="53"/>
      <c r="B11" s="53"/>
      <c r="C11" s="54"/>
      <c r="D11" s="54"/>
      <c r="E11" s="54"/>
      <c r="F11" s="54"/>
      <c r="G11" s="54"/>
      <c r="H11" s="55"/>
      <c r="I11" s="56"/>
      <c r="J11" s="8"/>
    </row>
    <row r="12" spans="1:9" ht="12.75">
      <c r="A12" s="25"/>
      <c r="B12" s="26"/>
      <c r="C12" s="26"/>
      <c r="D12" s="26"/>
      <c r="E12" s="26"/>
      <c r="F12" s="26"/>
      <c r="G12" s="26"/>
      <c r="H12" s="26"/>
      <c r="I12" s="33"/>
    </row>
    <row r="13" spans="1:9" ht="15" customHeight="1">
      <c r="A13" s="57" t="s">
        <v>62</v>
      </c>
      <c r="B13" s="57"/>
      <c r="C13" s="57"/>
      <c r="D13" s="57"/>
      <c r="E13" s="57"/>
      <c r="F13" s="58"/>
      <c r="G13" s="58"/>
      <c r="H13" s="58"/>
      <c r="I13" s="59"/>
    </row>
    <row r="14" spans="1:10" ht="12.75">
      <c r="A14" s="60" t="s">
        <v>63</v>
      </c>
      <c r="B14" s="60"/>
      <c r="C14" s="60"/>
      <c r="D14" s="60"/>
      <c r="E14" s="60"/>
      <c r="F14" s="61" t="s">
        <v>64</v>
      </c>
      <c r="G14" s="61" t="s">
        <v>65</v>
      </c>
      <c r="H14" s="61" t="s">
        <v>66</v>
      </c>
      <c r="I14" s="61" t="s">
        <v>64</v>
      </c>
      <c r="J14" s="8"/>
    </row>
    <row r="15" spans="1:10" ht="12.75">
      <c r="A15" s="62" t="s">
        <v>26</v>
      </c>
      <c r="B15" s="62"/>
      <c r="C15" s="62"/>
      <c r="D15" s="62"/>
      <c r="E15" s="62"/>
      <c r="F15" s="63">
        <v>0</v>
      </c>
      <c r="G15" s="10"/>
      <c r="H15" s="10"/>
      <c r="I15" s="64">
        <f>F15</f>
        <v>0</v>
      </c>
      <c r="J15" s="8"/>
    </row>
    <row r="16" spans="1:10" ht="12.75">
      <c r="A16" s="62" t="s">
        <v>29</v>
      </c>
      <c r="B16" s="62"/>
      <c r="C16" s="62"/>
      <c r="D16" s="62"/>
      <c r="E16" s="62"/>
      <c r="F16" s="63">
        <v>0</v>
      </c>
      <c r="G16" s="10"/>
      <c r="H16" s="10"/>
      <c r="I16" s="64">
        <f>F16</f>
        <v>0</v>
      </c>
      <c r="J16" s="8"/>
    </row>
    <row r="17" spans="1:10" ht="12.75">
      <c r="A17" s="65" t="s">
        <v>32</v>
      </c>
      <c r="B17" s="65"/>
      <c r="C17" s="65"/>
      <c r="D17" s="65"/>
      <c r="E17" s="65"/>
      <c r="F17" s="66">
        <v>0</v>
      </c>
      <c r="G17" s="67"/>
      <c r="H17" s="67"/>
      <c r="I17" s="68">
        <f>F17</f>
        <v>0</v>
      </c>
      <c r="J17" s="8"/>
    </row>
    <row r="18" spans="1:10" ht="12.75">
      <c r="A18" s="69" t="s">
        <v>67</v>
      </c>
      <c r="B18" s="69"/>
      <c r="C18" s="69"/>
      <c r="D18" s="69"/>
      <c r="E18" s="69"/>
      <c r="F18" s="69"/>
      <c r="G18" s="70"/>
      <c r="H18" s="70"/>
      <c r="I18" s="71">
        <f>SUM(I15:I17)</f>
        <v>0</v>
      </c>
      <c r="J18" s="8"/>
    </row>
    <row r="19" spans="1:9" ht="12.75">
      <c r="A19" s="72"/>
      <c r="B19" s="3"/>
      <c r="C19" s="3"/>
      <c r="D19" s="3"/>
      <c r="E19" s="3"/>
      <c r="F19" s="3"/>
      <c r="G19" s="3"/>
      <c r="H19" s="3"/>
      <c r="I19" s="73"/>
    </row>
    <row r="20" spans="1:10" ht="12.75">
      <c r="A20" s="60" t="s">
        <v>23</v>
      </c>
      <c r="B20" s="60"/>
      <c r="C20" s="60"/>
      <c r="D20" s="60"/>
      <c r="E20" s="60"/>
      <c r="F20" s="61" t="s">
        <v>64</v>
      </c>
      <c r="G20" s="61" t="s">
        <v>65</v>
      </c>
      <c r="H20" s="61" t="s">
        <v>66</v>
      </c>
      <c r="I20" s="61" t="s">
        <v>64</v>
      </c>
      <c r="J20" s="8"/>
    </row>
    <row r="21" spans="1:10" ht="12.75">
      <c r="A21" s="62" t="s">
        <v>27</v>
      </c>
      <c r="B21" s="62"/>
      <c r="C21" s="62"/>
      <c r="D21" s="62"/>
      <c r="E21" s="62"/>
      <c r="F21" s="10"/>
      <c r="G21" s="74">
        <v>0</v>
      </c>
      <c r="H21" s="63">
        <f>'Krycí list rozpočtu'!C22</f>
        <v>0</v>
      </c>
      <c r="I21" s="64">
        <f>ROUND((G21/100)*H21,2)</f>
        <v>0</v>
      </c>
      <c r="J21" s="8"/>
    </row>
    <row r="22" spans="1:10" ht="12.75">
      <c r="A22" s="62" t="s">
        <v>30</v>
      </c>
      <c r="B22" s="62"/>
      <c r="C22" s="62"/>
      <c r="D22" s="62"/>
      <c r="E22" s="62"/>
      <c r="F22" s="74">
        <v>0</v>
      </c>
      <c r="G22" s="10"/>
      <c r="H22" s="10"/>
      <c r="I22" s="64">
        <f>F22</f>
        <v>0</v>
      </c>
      <c r="J22" s="8"/>
    </row>
    <row r="23" spans="1:10" ht="12.75">
      <c r="A23" s="62" t="s">
        <v>33</v>
      </c>
      <c r="B23" s="62"/>
      <c r="C23" s="62"/>
      <c r="D23" s="62"/>
      <c r="E23" s="62"/>
      <c r="F23" s="74">
        <v>0</v>
      </c>
      <c r="G23" s="10"/>
      <c r="H23" s="10"/>
      <c r="I23" s="64">
        <f>F23</f>
        <v>0</v>
      </c>
      <c r="J23" s="8"/>
    </row>
    <row r="24" spans="1:10" ht="12.75">
      <c r="A24" s="62" t="s">
        <v>34</v>
      </c>
      <c r="B24" s="62"/>
      <c r="C24" s="62"/>
      <c r="D24" s="62"/>
      <c r="E24" s="62"/>
      <c r="F24" s="74">
        <v>0</v>
      </c>
      <c r="G24" s="10"/>
      <c r="H24" s="10"/>
      <c r="I24" s="64">
        <f>F24</f>
        <v>0</v>
      </c>
      <c r="J24" s="8"/>
    </row>
    <row r="25" spans="1:10" ht="12.75">
      <c r="A25" s="62" t="s">
        <v>36</v>
      </c>
      <c r="B25" s="62"/>
      <c r="C25" s="62"/>
      <c r="D25" s="62"/>
      <c r="E25" s="62"/>
      <c r="F25" s="74">
        <v>0</v>
      </c>
      <c r="G25" s="10"/>
      <c r="H25" s="10"/>
      <c r="I25" s="64">
        <f>F25</f>
        <v>0</v>
      </c>
      <c r="J25" s="8"/>
    </row>
    <row r="26" spans="1:10" ht="12.75">
      <c r="A26" s="65" t="s">
        <v>37</v>
      </c>
      <c r="B26" s="65"/>
      <c r="C26" s="65"/>
      <c r="D26" s="65"/>
      <c r="E26" s="65"/>
      <c r="F26" s="75">
        <v>0</v>
      </c>
      <c r="G26" s="67"/>
      <c r="H26" s="67"/>
      <c r="I26" s="68">
        <f>F26</f>
        <v>0</v>
      </c>
      <c r="J26" s="8"/>
    </row>
    <row r="27" spans="1:10" ht="12.75">
      <c r="A27" s="69" t="s">
        <v>68</v>
      </c>
      <c r="B27" s="69"/>
      <c r="C27" s="69"/>
      <c r="D27" s="69"/>
      <c r="E27" s="69"/>
      <c r="F27" s="69"/>
      <c r="G27" s="70"/>
      <c r="H27" s="70"/>
      <c r="I27" s="71">
        <f>SUM(I21:I26)</f>
        <v>0</v>
      </c>
      <c r="J27" s="8"/>
    </row>
    <row r="28" spans="1:9" ht="12.75">
      <c r="A28" s="72"/>
      <c r="B28" s="3"/>
      <c r="C28" s="3"/>
      <c r="D28" s="3"/>
      <c r="E28" s="3"/>
      <c r="F28" s="3"/>
      <c r="G28" s="3"/>
      <c r="H28" s="3"/>
      <c r="I28" s="73"/>
    </row>
    <row r="29" spans="1:10" ht="15" customHeight="1">
      <c r="A29" s="76" t="s">
        <v>69</v>
      </c>
      <c r="B29" s="76"/>
      <c r="C29" s="76"/>
      <c r="D29" s="76"/>
      <c r="E29" s="76"/>
      <c r="F29" s="77">
        <f>I18+I27</f>
        <v>0</v>
      </c>
      <c r="G29" s="77"/>
      <c r="H29" s="77"/>
      <c r="I29" s="77"/>
      <c r="J29" s="8"/>
    </row>
    <row r="30" spans="1:9" ht="12.75">
      <c r="A30" s="78"/>
      <c r="B30" s="47"/>
      <c r="C30" s="47"/>
      <c r="D30" s="47"/>
      <c r="E30" s="47"/>
      <c r="F30" s="47"/>
      <c r="G30" s="47"/>
      <c r="H30" s="47"/>
      <c r="I30" s="79"/>
    </row>
    <row r="31" spans="1:9" ht="15" customHeight="1">
      <c r="A31" s="57" t="s">
        <v>70</v>
      </c>
      <c r="B31" s="57"/>
      <c r="C31" s="57"/>
      <c r="D31" s="57"/>
      <c r="E31" s="57"/>
      <c r="F31" s="58"/>
      <c r="G31" s="58"/>
      <c r="H31" s="58"/>
      <c r="I31" s="59"/>
    </row>
    <row r="32" spans="1:10" ht="12.75">
      <c r="A32" s="60" t="s">
        <v>71</v>
      </c>
      <c r="B32" s="60"/>
      <c r="C32" s="60"/>
      <c r="D32" s="60"/>
      <c r="E32" s="60"/>
      <c r="F32" s="61" t="s">
        <v>64</v>
      </c>
      <c r="G32" s="61" t="s">
        <v>65</v>
      </c>
      <c r="H32" s="61" t="s">
        <v>66</v>
      </c>
      <c r="I32" s="61" t="s">
        <v>64</v>
      </c>
      <c r="J32" s="8"/>
    </row>
    <row r="33" spans="1:10" ht="12.75">
      <c r="A33" s="65"/>
      <c r="B33" s="65"/>
      <c r="C33" s="65"/>
      <c r="D33" s="65"/>
      <c r="E33" s="65"/>
      <c r="F33" s="80">
        <v>0</v>
      </c>
      <c r="G33" s="67"/>
      <c r="H33" s="67"/>
      <c r="I33" s="68">
        <f>F33</f>
        <v>0</v>
      </c>
      <c r="J33" s="8"/>
    </row>
    <row r="34" spans="1:10" ht="12.75">
      <c r="A34" s="69" t="s">
        <v>72</v>
      </c>
      <c r="B34" s="69"/>
      <c r="C34" s="69"/>
      <c r="D34" s="69"/>
      <c r="E34" s="69"/>
      <c r="F34" s="69"/>
      <c r="G34" s="70"/>
      <c r="H34" s="70"/>
      <c r="I34" s="71">
        <f>SUM(I33:I33)</f>
        <v>0</v>
      </c>
      <c r="J34" s="8"/>
    </row>
    <row r="35" spans="1:9" ht="12.75">
      <c r="A35" s="47"/>
      <c r="B35" s="47"/>
      <c r="C35" s="47"/>
      <c r="D35" s="47"/>
      <c r="E35" s="47"/>
      <c r="F35" s="47"/>
      <c r="G35" s="47"/>
      <c r="H35" s="47"/>
      <c r="I35" s="47"/>
    </row>
  </sheetData>
  <sheetProtection sheet="1"/>
  <mergeCells count="51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3:E13"/>
    <mergeCell ref="A14:E14"/>
    <mergeCell ref="A15:E15"/>
    <mergeCell ref="A16:E16"/>
    <mergeCell ref="A17:E17"/>
    <mergeCell ref="A18:E18"/>
    <mergeCell ref="A20:E20"/>
    <mergeCell ref="A21:E21"/>
    <mergeCell ref="A22:E22"/>
    <mergeCell ref="A23:E23"/>
    <mergeCell ref="A24:E24"/>
    <mergeCell ref="A25:E25"/>
    <mergeCell ref="A26:E26"/>
    <mergeCell ref="A27:E27"/>
    <mergeCell ref="A29:E29"/>
    <mergeCell ref="F29:I29"/>
    <mergeCell ref="A31:E31"/>
    <mergeCell ref="A32:E32"/>
    <mergeCell ref="A33:E33"/>
    <mergeCell ref="A34:E34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12.57421875" defaultRowHeight="12.75"/>
  <cols>
    <col min="1" max="1" width="5.7109375" style="1" customWidth="1"/>
    <col min="2" max="11" width="15.7109375" style="1" customWidth="1"/>
    <col min="12" max="12" width="14.28125" style="1" customWidth="1"/>
    <col min="13" max="16" width="0" style="1" hidden="1" customWidth="1"/>
    <col min="17" max="16384" width="11.57421875" style="1" customWidth="1"/>
  </cols>
  <sheetData>
    <row r="1" spans="1:12" ht="72.75" customHeight="1">
      <c r="A1" s="81" t="s">
        <v>73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3" ht="12.75" customHeight="1">
      <c r="A2" s="82" t="s">
        <v>1</v>
      </c>
      <c r="B2" s="82"/>
      <c r="C2" s="82"/>
      <c r="D2" s="83">
        <f>'Stavební rozpočet'!C2</f>
        <v>0</v>
      </c>
      <c r="E2" s="83"/>
      <c r="F2" s="83"/>
      <c r="G2" s="84" t="s">
        <v>74</v>
      </c>
      <c r="H2" s="84">
        <f>'Stavební rozpočet'!G2</f>
        <v>0</v>
      </c>
      <c r="I2" s="84" t="s">
        <v>2</v>
      </c>
      <c r="J2" s="85">
        <f>'Stavební rozpočet'!I2</f>
        <v>0</v>
      </c>
      <c r="K2" s="85"/>
      <c r="L2" s="85"/>
      <c r="M2" s="86"/>
    </row>
    <row r="3" spans="1:13" ht="12.75">
      <c r="A3" s="82"/>
      <c r="B3" s="82"/>
      <c r="C3" s="82"/>
      <c r="D3" s="83"/>
      <c r="E3" s="83"/>
      <c r="F3" s="83"/>
      <c r="G3" s="84"/>
      <c r="H3" s="84"/>
      <c r="I3" s="84"/>
      <c r="J3" s="84"/>
      <c r="K3" s="85"/>
      <c r="L3" s="85"/>
      <c r="M3" s="86"/>
    </row>
    <row r="4" spans="1:13" ht="12.75" customHeight="1">
      <c r="A4" s="87" t="s">
        <v>5</v>
      </c>
      <c r="B4" s="87"/>
      <c r="C4" s="87"/>
      <c r="D4" s="48">
        <f>'Stavební rozpočet'!C4</f>
        <v>0</v>
      </c>
      <c r="E4" s="48"/>
      <c r="F4" s="48"/>
      <c r="G4" s="48" t="s">
        <v>10</v>
      </c>
      <c r="H4" s="48">
        <f>'Stavební rozpočet'!G4</f>
        <v>0</v>
      </c>
      <c r="I4" s="48" t="s">
        <v>6</v>
      </c>
      <c r="J4" s="88">
        <f>'Stavební rozpočet'!I4</f>
        <v>0</v>
      </c>
      <c r="K4" s="88"/>
      <c r="L4" s="88"/>
      <c r="M4" s="86"/>
    </row>
    <row r="5" spans="1:13" ht="12.75">
      <c r="A5" s="87"/>
      <c r="B5" s="87"/>
      <c r="C5" s="87"/>
      <c r="D5" s="48"/>
      <c r="E5" s="48"/>
      <c r="F5" s="48"/>
      <c r="G5" s="48"/>
      <c r="H5" s="48"/>
      <c r="I5" s="48"/>
      <c r="J5" s="48"/>
      <c r="K5" s="88"/>
      <c r="L5" s="88"/>
      <c r="M5" s="86"/>
    </row>
    <row r="6" spans="1:13" ht="12.75" customHeight="1">
      <c r="A6" s="87" t="s">
        <v>8</v>
      </c>
      <c r="B6" s="87"/>
      <c r="C6" s="87"/>
      <c r="D6" s="48">
        <f>'Stavební rozpočet'!C6</f>
        <v>0</v>
      </c>
      <c r="E6" s="48"/>
      <c r="F6" s="48"/>
      <c r="G6" s="48" t="s">
        <v>11</v>
      </c>
      <c r="H6" s="48">
        <f>'Stavební rozpočet'!G6</f>
        <v>0</v>
      </c>
      <c r="I6" s="48" t="s">
        <v>9</v>
      </c>
      <c r="J6" s="88">
        <f>'Stavební rozpočet'!I6</f>
        <v>0</v>
      </c>
      <c r="K6" s="88"/>
      <c r="L6" s="88"/>
      <c r="M6" s="86"/>
    </row>
    <row r="7" spans="1:13" ht="12.75">
      <c r="A7" s="87"/>
      <c r="B7" s="87"/>
      <c r="C7" s="87"/>
      <c r="D7" s="48"/>
      <c r="E7" s="48"/>
      <c r="F7" s="48"/>
      <c r="G7" s="48"/>
      <c r="H7" s="48"/>
      <c r="I7" s="48"/>
      <c r="J7" s="48"/>
      <c r="K7" s="88"/>
      <c r="L7" s="88"/>
      <c r="M7" s="86"/>
    </row>
    <row r="8" spans="1:13" ht="12.75" customHeight="1">
      <c r="A8" s="89" t="s">
        <v>14</v>
      </c>
      <c r="B8" s="89"/>
      <c r="C8" s="89"/>
      <c r="D8" s="90">
        <f>'Stavební rozpočet'!C8</f>
        <v>0</v>
      </c>
      <c r="E8" s="90"/>
      <c r="F8" s="90"/>
      <c r="G8" s="90" t="s">
        <v>75</v>
      </c>
      <c r="H8" s="90">
        <f>'Stavební rozpočet'!G8</f>
        <v>0</v>
      </c>
      <c r="I8" s="90" t="s">
        <v>15</v>
      </c>
      <c r="J8" s="91">
        <f>'Stavební rozpočet'!I8</f>
        <v>0</v>
      </c>
      <c r="K8" s="91"/>
      <c r="L8" s="91"/>
      <c r="M8" s="86"/>
    </row>
    <row r="9" spans="1:13" ht="12.75">
      <c r="A9" s="89"/>
      <c r="B9" s="89"/>
      <c r="C9" s="89"/>
      <c r="D9" s="90"/>
      <c r="E9" s="90"/>
      <c r="F9" s="90"/>
      <c r="G9" s="90"/>
      <c r="H9" s="90"/>
      <c r="I9" s="90"/>
      <c r="J9" s="90"/>
      <c r="K9" s="91"/>
      <c r="L9" s="91"/>
      <c r="M9" s="86"/>
    </row>
    <row r="10" spans="1:13" ht="12.75">
      <c r="A10" s="92" t="s">
        <v>76</v>
      </c>
      <c r="B10" s="93" t="s">
        <v>76</v>
      </c>
      <c r="C10" s="93"/>
      <c r="D10" s="93"/>
      <c r="E10" s="93"/>
      <c r="F10" s="93"/>
      <c r="G10" s="93"/>
      <c r="H10" s="93"/>
      <c r="I10" s="93"/>
      <c r="J10" s="93"/>
      <c r="K10" s="93"/>
      <c r="L10" s="94" t="s">
        <v>77</v>
      </c>
      <c r="M10" s="95"/>
    </row>
    <row r="11" spans="1:13" ht="12.75">
      <c r="A11" s="96" t="s">
        <v>78</v>
      </c>
      <c r="B11" s="97" t="s">
        <v>79</v>
      </c>
      <c r="C11" s="97"/>
      <c r="D11" s="97"/>
      <c r="E11" s="97"/>
      <c r="F11" s="97"/>
      <c r="G11" s="97"/>
      <c r="H11" s="97"/>
      <c r="I11" s="97"/>
      <c r="J11" s="97"/>
      <c r="K11" s="97"/>
      <c r="L11" s="98" t="s">
        <v>80</v>
      </c>
      <c r="M11" s="95"/>
    </row>
    <row r="12" spans="1:16" ht="12.75">
      <c r="A12" s="99"/>
      <c r="B12" s="100" t="s">
        <v>81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1">
        <f>'Stavební rozpočet'!L12</f>
        <v>0</v>
      </c>
      <c r="M12" s="102" t="s">
        <v>82</v>
      </c>
      <c r="N12" s="103">
        <f aca="true" t="shared" si="0" ref="N12:N21">IF(M12="F",0,L12)</f>
        <v>0</v>
      </c>
      <c r="O12" s="52"/>
      <c r="P12" s="103">
        <f aca="true" t="shared" si="1" ref="P12:P21">IF(M12="T",0,L12)</f>
        <v>0</v>
      </c>
    </row>
    <row r="13" spans="1:16" ht="12.75">
      <c r="A13" s="104" t="s">
        <v>83</v>
      </c>
      <c r="B13" s="52" t="s">
        <v>84</v>
      </c>
      <c r="C13" s="52"/>
      <c r="D13" s="52"/>
      <c r="E13" s="52"/>
      <c r="F13" s="52"/>
      <c r="G13" s="52"/>
      <c r="H13" s="52"/>
      <c r="I13" s="52"/>
      <c r="J13" s="52"/>
      <c r="K13" s="52"/>
      <c r="L13" s="105">
        <f>SUMIF('Stavební rozpočet'!AZ13:AZ96,"_1_",'Stavební rozpočet'!AV13:AV96)</f>
        <v>0</v>
      </c>
      <c r="M13" s="102" t="s">
        <v>85</v>
      </c>
      <c r="N13" s="103">
        <f t="shared" si="0"/>
        <v>0</v>
      </c>
      <c r="O13" s="52"/>
      <c r="P13" s="103">
        <f t="shared" si="1"/>
        <v>0</v>
      </c>
    </row>
    <row r="14" spans="1:16" ht="12.75">
      <c r="A14" s="104" t="s">
        <v>86</v>
      </c>
      <c r="B14" s="52" t="s">
        <v>87</v>
      </c>
      <c r="C14" s="52"/>
      <c r="D14" s="52"/>
      <c r="E14" s="52"/>
      <c r="F14" s="52"/>
      <c r="G14" s="52"/>
      <c r="H14" s="52"/>
      <c r="I14" s="52"/>
      <c r="J14" s="52"/>
      <c r="K14" s="52"/>
      <c r="L14" s="105">
        <f>SUMIF('Stavební rozpočet'!AZ13:AZ96,"_2_",'Stavební rozpočet'!AV13:AV96)</f>
        <v>0</v>
      </c>
      <c r="M14" s="102" t="s">
        <v>85</v>
      </c>
      <c r="N14" s="103">
        <f t="shared" si="0"/>
        <v>0</v>
      </c>
      <c r="O14" s="52"/>
      <c r="P14" s="103">
        <f t="shared" si="1"/>
        <v>0</v>
      </c>
    </row>
    <row r="15" spans="1:16" ht="12.75">
      <c r="A15" s="104" t="s">
        <v>88</v>
      </c>
      <c r="B15" s="52" t="s">
        <v>89</v>
      </c>
      <c r="C15" s="52"/>
      <c r="D15" s="52"/>
      <c r="E15" s="52"/>
      <c r="F15" s="52"/>
      <c r="G15" s="52"/>
      <c r="H15" s="52"/>
      <c r="I15" s="52"/>
      <c r="J15" s="52"/>
      <c r="K15" s="52"/>
      <c r="L15" s="105">
        <f>SUMIF('Stavební rozpočet'!AZ13:AZ96,"_3_",'Stavební rozpočet'!AV13:AV96)</f>
        <v>0</v>
      </c>
      <c r="M15" s="102" t="s">
        <v>85</v>
      </c>
      <c r="N15" s="103">
        <f t="shared" si="0"/>
        <v>0</v>
      </c>
      <c r="O15" s="52"/>
      <c r="P15" s="103">
        <f t="shared" si="1"/>
        <v>0</v>
      </c>
    </row>
    <row r="16" spans="1:16" ht="12.75">
      <c r="A16" s="104" t="s">
        <v>90</v>
      </c>
      <c r="B16" s="52" t="s">
        <v>91</v>
      </c>
      <c r="C16" s="52"/>
      <c r="D16" s="52"/>
      <c r="E16" s="52"/>
      <c r="F16" s="52"/>
      <c r="G16" s="52"/>
      <c r="H16" s="52"/>
      <c r="I16" s="52"/>
      <c r="J16" s="52"/>
      <c r="K16" s="52"/>
      <c r="L16" s="105">
        <f>SUMIF('Stavební rozpočet'!AZ13:AZ96,"_6_",'Stavební rozpočet'!AV13:AV96)</f>
        <v>0</v>
      </c>
      <c r="M16" s="102" t="s">
        <v>85</v>
      </c>
      <c r="N16" s="103">
        <f t="shared" si="0"/>
        <v>0</v>
      </c>
      <c r="O16" s="52"/>
      <c r="P16" s="103">
        <f t="shared" si="1"/>
        <v>0</v>
      </c>
    </row>
    <row r="17" spans="1:16" ht="12.75">
      <c r="A17" s="104" t="s">
        <v>92</v>
      </c>
      <c r="B17" s="52" t="s">
        <v>93</v>
      </c>
      <c r="C17" s="52"/>
      <c r="D17" s="52"/>
      <c r="E17" s="52"/>
      <c r="F17" s="52"/>
      <c r="G17" s="52"/>
      <c r="H17" s="52"/>
      <c r="I17" s="52"/>
      <c r="J17" s="52"/>
      <c r="K17" s="52"/>
      <c r="L17" s="105">
        <f>SUMIF('Stavební rozpočet'!AZ13:AZ96,"_71_",'Stavební rozpočet'!AV13:AV96)</f>
        <v>0</v>
      </c>
      <c r="M17" s="102" t="s">
        <v>85</v>
      </c>
      <c r="N17" s="103">
        <f t="shared" si="0"/>
        <v>0</v>
      </c>
      <c r="O17" s="52"/>
      <c r="P17" s="103">
        <f t="shared" si="1"/>
        <v>0</v>
      </c>
    </row>
    <row r="18" spans="1:16" ht="12.75">
      <c r="A18" s="104" t="s">
        <v>94</v>
      </c>
      <c r="B18" s="52" t="s">
        <v>95</v>
      </c>
      <c r="C18" s="52"/>
      <c r="D18" s="52"/>
      <c r="E18" s="52"/>
      <c r="F18" s="52"/>
      <c r="G18" s="52"/>
      <c r="H18" s="52"/>
      <c r="I18" s="52"/>
      <c r="J18" s="52"/>
      <c r="K18" s="52"/>
      <c r="L18" s="105">
        <f>SUMIF('Stavební rozpočet'!AZ13:AZ96,"_72_",'Stavební rozpočet'!AV13:AV96)</f>
        <v>0</v>
      </c>
      <c r="M18" s="102" t="s">
        <v>85</v>
      </c>
      <c r="N18" s="103">
        <f t="shared" si="0"/>
        <v>0</v>
      </c>
      <c r="O18" s="52"/>
      <c r="P18" s="103">
        <f t="shared" si="1"/>
        <v>0</v>
      </c>
    </row>
    <row r="19" spans="1:16" ht="12.75">
      <c r="A19" s="104" t="s">
        <v>96</v>
      </c>
      <c r="B19" s="52" t="s">
        <v>97</v>
      </c>
      <c r="C19" s="52"/>
      <c r="D19" s="52"/>
      <c r="E19" s="52"/>
      <c r="F19" s="52"/>
      <c r="G19" s="52"/>
      <c r="H19" s="52"/>
      <c r="I19" s="52"/>
      <c r="J19" s="52"/>
      <c r="K19" s="52"/>
      <c r="L19" s="105">
        <f>SUMIF('Stavební rozpočet'!AZ13:AZ96,"_78_",'Stavební rozpočet'!AV13:AV96)</f>
        <v>0</v>
      </c>
      <c r="M19" s="102" t="s">
        <v>85</v>
      </c>
      <c r="N19" s="103">
        <f t="shared" si="0"/>
        <v>0</v>
      </c>
      <c r="O19" s="52"/>
      <c r="P19" s="103">
        <f t="shared" si="1"/>
        <v>0</v>
      </c>
    </row>
    <row r="20" spans="1:16" ht="12.75">
      <c r="A20" s="104" t="s">
        <v>98</v>
      </c>
      <c r="B20" s="52" t="s">
        <v>99</v>
      </c>
      <c r="C20" s="52"/>
      <c r="D20" s="52"/>
      <c r="E20" s="52"/>
      <c r="F20" s="52"/>
      <c r="G20" s="52"/>
      <c r="H20" s="52"/>
      <c r="I20" s="52"/>
      <c r="J20" s="52"/>
      <c r="K20" s="52"/>
      <c r="L20" s="105">
        <f>SUMIF('Stavební rozpočet'!AZ13:AZ96,"_8_",'Stavební rozpočet'!AV13:AV96)</f>
        <v>0</v>
      </c>
      <c r="M20" s="102" t="s">
        <v>85</v>
      </c>
      <c r="N20" s="103">
        <f t="shared" si="0"/>
        <v>0</v>
      </c>
      <c r="O20" s="52"/>
      <c r="P20" s="103">
        <f t="shared" si="1"/>
        <v>0</v>
      </c>
    </row>
    <row r="21" spans="1:16" ht="12.75">
      <c r="A21" s="106" t="s">
        <v>100</v>
      </c>
      <c r="B21" s="55" t="s">
        <v>101</v>
      </c>
      <c r="C21" s="55"/>
      <c r="D21" s="55"/>
      <c r="E21" s="55"/>
      <c r="F21" s="55"/>
      <c r="G21" s="55"/>
      <c r="H21" s="55"/>
      <c r="I21" s="55"/>
      <c r="J21" s="55"/>
      <c r="K21" s="55"/>
      <c r="L21" s="107">
        <f>SUMIF('Stavební rozpočet'!AZ13:AZ96,"_9_",'Stavební rozpočet'!AV13:AV96)</f>
        <v>0</v>
      </c>
      <c r="M21" s="102" t="s">
        <v>85</v>
      </c>
      <c r="N21" s="103">
        <f t="shared" si="0"/>
        <v>0</v>
      </c>
      <c r="O21" s="52"/>
      <c r="P21" s="103">
        <f t="shared" si="1"/>
        <v>0</v>
      </c>
    </row>
    <row r="22" spans="1:12" ht="12.75">
      <c r="A22" s="26"/>
      <c r="B22" s="26"/>
      <c r="C22" s="26"/>
      <c r="D22" s="26"/>
      <c r="E22" s="26"/>
      <c r="F22" s="26"/>
      <c r="G22" s="26"/>
      <c r="H22" s="26"/>
      <c r="I22" s="26"/>
      <c r="J22" s="108" t="s">
        <v>102</v>
      </c>
      <c r="K22" s="108"/>
      <c r="L22" s="109">
        <f>SUM(N12:N21)</f>
        <v>0</v>
      </c>
    </row>
    <row r="23" ht="11.25" customHeight="1">
      <c r="A23" s="110" t="s">
        <v>58</v>
      </c>
    </row>
    <row r="24" spans="1:12" ht="12.75" customHeight="1">
      <c r="A24" s="48" t="s">
        <v>103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ht="12.75">
      <c r="A25" s="1" t="s">
        <v>60</v>
      </c>
    </row>
  </sheetData>
  <sheetProtection sheet="1"/>
  <mergeCells count="39">
    <mergeCell ref="A1:L1"/>
    <mergeCell ref="A2:C3"/>
    <mergeCell ref="D2:F3"/>
    <mergeCell ref="G2:G3"/>
    <mergeCell ref="H2:H3"/>
    <mergeCell ref="I2:I3"/>
    <mergeCell ref="J2:L3"/>
    <mergeCell ref="A4:C5"/>
    <mergeCell ref="D4:F5"/>
    <mergeCell ref="G4:G5"/>
    <mergeCell ref="H4:H5"/>
    <mergeCell ref="I4:I5"/>
    <mergeCell ref="J4:L5"/>
    <mergeCell ref="A6:C7"/>
    <mergeCell ref="D6:F7"/>
    <mergeCell ref="G6:G7"/>
    <mergeCell ref="H6:H7"/>
    <mergeCell ref="I6:I7"/>
    <mergeCell ref="J6:L7"/>
    <mergeCell ref="A8:C9"/>
    <mergeCell ref="D8:F9"/>
    <mergeCell ref="G8:G9"/>
    <mergeCell ref="H8:H9"/>
    <mergeCell ref="I8:I9"/>
    <mergeCell ref="J8:L9"/>
    <mergeCell ref="B10:K10"/>
    <mergeCell ref="B11:K11"/>
    <mergeCell ref="B12:K12"/>
    <mergeCell ref="B13:K13"/>
    <mergeCell ref="B14:K14"/>
    <mergeCell ref="B15:K15"/>
    <mergeCell ref="B16:K16"/>
    <mergeCell ref="B17:K17"/>
    <mergeCell ref="B18:K18"/>
    <mergeCell ref="B19:K19"/>
    <mergeCell ref="B20:K20"/>
    <mergeCell ref="B21:K21"/>
    <mergeCell ref="J22:K22"/>
    <mergeCell ref="A24:L24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0"/>
  <sheetViews>
    <sheetView workbookViewId="0" topLeftCell="A1">
      <pane ySplit="11" topLeftCell="A12" activePane="bottomLeft" state="frozen"/>
      <selection pane="topLeft" activeCell="A1" sqref="A1"/>
      <selection pane="bottomLeft" activeCell="L12" sqref="L12"/>
    </sheetView>
  </sheetViews>
  <sheetFormatPr defaultColWidth="12.57421875" defaultRowHeight="12.75"/>
  <cols>
    <col min="1" max="1" width="3.7109375" style="1" customWidth="1"/>
    <col min="2" max="2" width="14.28125" style="1" customWidth="1"/>
    <col min="3" max="3" width="1.421875" style="1" customWidth="1"/>
    <col min="4" max="4" width="65.28125" style="1" customWidth="1"/>
    <col min="5" max="7" width="11.57421875" style="1" customWidth="1"/>
    <col min="8" max="8" width="11.140625" style="1" customWidth="1"/>
    <col min="9" max="9" width="6.421875" style="1" customWidth="1"/>
    <col min="10" max="10" width="12.8515625" style="1" customWidth="1"/>
    <col min="11" max="11" width="12.00390625" style="1" customWidth="1"/>
    <col min="12" max="12" width="14.28125" style="1" customWidth="1"/>
    <col min="13" max="13" width="11.7109375" style="1" customWidth="1"/>
    <col min="14" max="24" width="11.57421875" style="1" customWidth="1"/>
    <col min="25" max="64" width="0" style="1" hidden="1" customWidth="1"/>
    <col min="65" max="16384" width="11.57421875" style="1" customWidth="1"/>
  </cols>
  <sheetData>
    <row r="1" spans="1:13" ht="72.75" customHeight="1">
      <c r="A1" s="81" t="s">
        <v>104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4" ht="12.75" customHeight="1">
      <c r="A2" s="82" t="s">
        <v>1</v>
      </c>
      <c r="B2" s="82"/>
      <c r="C2" s="83" t="s">
        <v>105</v>
      </c>
      <c r="D2" s="83"/>
      <c r="E2" s="111" t="s">
        <v>74</v>
      </c>
      <c r="F2" s="111"/>
      <c r="G2" s="111" t="s">
        <v>76</v>
      </c>
      <c r="H2" s="84" t="s">
        <v>2</v>
      </c>
      <c r="I2" s="85" t="s">
        <v>106</v>
      </c>
      <c r="J2" s="85"/>
      <c r="K2" s="85"/>
      <c r="L2" s="85"/>
      <c r="M2" s="85"/>
      <c r="N2" s="86"/>
    </row>
    <row r="3" spans="1:14" ht="12.75">
      <c r="A3" s="82"/>
      <c r="B3" s="82"/>
      <c r="C3" s="83"/>
      <c r="D3" s="83"/>
      <c r="E3" s="111"/>
      <c r="F3" s="111"/>
      <c r="G3" s="111"/>
      <c r="H3" s="111"/>
      <c r="I3" s="111"/>
      <c r="J3" s="85"/>
      <c r="K3" s="85"/>
      <c r="L3" s="85"/>
      <c r="M3" s="85"/>
      <c r="N3" s="86"/>
    </row>
    <row r="4" spans="1:14" ht="12.75" customHeight="1">
      <c r="A4" s="87" t="s">
        <v>5</v>
      </c>
      <c r="B4" s="87"/>
      <c r="C4" s="48" t="s">
        <v>107</v>
      </c>
      <c r="D4" s="48"/>
      <c r="E4" s="52" t="s">
        <v>10</v>
      </c>
      <c r="F4" s="52"/>
      <c r="G4" s="52" t="s">
        <v>76</v>
      </c>
      <c r="H4" s="48" t="s">
        <v>6</v>
      </c>
      <c r="I4" s="88" t="s">
        <v>108</v>
      </c>
      <c r="J4" s="88"/>
      <c r="K4" s="88"/>
      <c r="L4" s="88"/>
      <c r="M4" s="88"/>
      <c r="N4" s="86"/>
    </row>
    <row r="5" spans="1:14" ht="12.75">
      <c r="A5" s="87"/>
      <c r="B5" s="87"/>
      <c r="C5" s="48"/>
      <c r="D5" s="48"/>
      <c r="E5" s="52"/>
      <c r="F5" s="52"/>
      <c r="G5" s="52"/>
      <c r="H5" s="52"/>
      <c r="I5" s="52"/>
      <c r="J5" s="88"/>
      <c r="K5" s="88"/>
      <c r="L5" s="88"/>
      <c r="M5" s="88"/>
      <c r="N5" s="86"/>
    </row>
    <row r="6" spans="1:14" ht="12.75" customHeight="1">
      <c r="A6" s="87" t="s">
        <v>8</v>
      </c>
      <c r="B6" s="87"/>
      <c r="C6" s="48" t="s">
        <v>109</v>
      </c>
      <c r="D6" s="48"/>
      <c r="E6" s="52" t="s">
        <v>11</v>
      </c>
      <c r="F6" s="52"/>
      <c r="G6" s="52" t="s">
        <v>76</v>
      </c>
      <c r="H6" s="48" t="s">
        <v>9</v>
      </c>
      <c r="I6" s="112" t="s">
        <v>110</v>
      </c>
      <c r="J6" s="112"/>
      <c r="K6" s="112"/>
      <c r="L6" s="112"/>
      <c r="M6" s="112"/>
      <c r="N6" s="86"/>
    </row>
    <row r="7" spans="1:14" ht="12.75">
      <c r="A7" s="87"/>
      <c r="B7" s="87"/>
      <c r="C7" s="48"/>
      <c r="D7" s="48"/>
      <c r="E7" s="52"/>
      <c r="F7" s="52"/>
      <c r="G7" s="52"/>
      <c r="H7" s="52"/>
      <c r="I7" s="112"/>
      <c r="J7" s="112"/>
      <c r="K7" s="112"/>
      <c r="L7" s="112"/>
      <c r="M7" s="112"/>
      <c r="N7" s="86"/>
    </row>
    <row r="8" spans="1:14" ht="12.75" customHeight="1">
      <c r="A8" s="89" t="s">
        <v>14</v>
      </c>
      <c r="B8" s="89"/>
      <c r="C8" s="90" t="s">
        <v>111</v>
      </c>
      <c r="D8" s="90"/>
      <c r="E8" s="113" t="s">
        <v>75</v>
      </c>
      <c r="F8" s="113"/>
      <c r="G8" s="114" t="s">
        <v>112</v>
      </c>
      <c r="H8" s="90" t="s">
        <v>15</v>
      </c>
      <c r="I8" s="115">
        <v>0</v>
      </c>
      <c r="J8" s="115"/>
      <c r="K8" s="115"/>
      <c r="L8" s="115"/>
      <c r="M8" s="115"/>
      <c r="N8" s="86"/>
    </row>
    <row r="9" spans="1:14" ht="12.75">
      <c r="A9" s="89"/>
      <c r="B9" s="89"/>
      <c r="C9" s="90"/>
      <c r="D9" s="90"/>
      <c r="E9" s="113"/>
      <c r="F9" s="113"/>
      <c r="G9" s="114"/>
      <c r="H9" s="90"/>
      <c r="I9" s="115"/>
      <c r="J9" s="115"/>
      <c r="K9" s="115"/>
      <c r="L9" s="115"/>
      <c r="M9" s="115"/>
      <c r="N9" s="86"/>
    </row>
    <row r="10" spans="1:64" ht="12.75" customHeight="1">
      <c r="A10" s="116" t="s">
        <v>113</v>
      </c>
      <c r="B10" s="117" t="s">
        <v>78</v>
      </c>
      <c r="C10" s="117" t="s">
        <v>79</v>
      </c>
      <c r="D10" s="117"/>
      <c r="E10" s="117"/>
      <c r="F10" s="117"/>
      <c r="G10" s="117"/>
      <c r="H10" s="117"/>
      <c r="I10" s="117" t="s">
        <v>114</v>
      </c>
      <c r="J10" s="118" t="s">
        <v>115</v>
      </c>
      <c r="K10" s="119" t="s">
        <v>116</v>
      </c>
      <c r="L10" s="94" t="s">
        <v>77</v>
      </c>
      <c r="M10" s="94" t="s">
        <v>117</v>
      </c>
      <c r="N10" s="95"/>
      <c r="BK10" s="120" t="s">
        <v>118</v>
      </c>
      <c r="BL10" s="121" t="s">
        <v>119</v>
      </c>
    </row>
    <row r="11" spans="1:62" ht="12.75">
      <c r="A11" s="122" t="s">
        <v>76</v>
      </c>
      <c r="B11" s="123" t="s">
        <v>76</v>
      </c>
      <c r="C11" s="97" t="s">
        <v>120</v>
      </c>
      <c r="D11" s="97"/>
      <c r="E11" s="97"/>
      <c r="F11" s="97"/>
      <c r="G11" s="97"/>
      <c r="H11" s="97"/>
      <c r="I11" s="123" t="s">
        <v>76</v>
      </c>
      <c r="J11" s="123" t="s">
        <v>76</v>
      </c>
      <c r="K11" s="124" t="s">
        <v>121</v>
      </c>
      <c r="L11" s="98" t="s">
        <v>80</v>
      </c>
      <c r="M11" s="125" t="s">
        <v>122</v>
      </c>
      <c r="N11" s="95"/>
      <c r="Z11" s="120" t="s">
        <v>123</v>
      </c>
      <c r="AA11" s="120" t="s">
        <v>124</v>
      </c>
      <c r="AB11" s="120" t="s">
        <v>125</v>
      </c>
      <c r="AC11" s="120" t="s">
        <v>126</v>
      </c>
      <c r="AD11" s="120" t="s">
        <v>127</v>
      </c>
      <c r="AE11" s="120" t="s">
        <v>128</v>
      </c>
      <c r="AF11" s="120" t="s">
        <v>129</v>
      </c>
      <c r="AG11" s="120" t="s">
        <v>130</v>
      </c>
      <c r="AH11" s="120" t="s">
        <v>131</v>
      </c>
      <c r="BH11" s="120" t="s">
        <v>132</v>
      </c>
      <c r="BI11" s="120" t="s">
        <v>133</v>
      </c>
      <c r="BJ11" s="120" t="s">
        <v>134</v>
      </c>
    </row>
    <row r="12" spans="1:14" ht="12.75">
      <c r="A12" s="126"/>
      <c r="B12" s="127"/>
      <c r="C12" s="127" t="s">
        <v>81</v>
      </c>
      <c r="D12" s="127"/>
      <c r="E12" s="127"/>
      <c r="F12" s="127"/>
      <c r="G12" s="127"/>
      <c r="H12" s="127"/>
      <c r="I12" s="128" t="s">
        <v>76</v>
      </c>
      <c r="J12" s="128" t="s">
        <v>76</v>
      </c>
      <c r="K12" s="128" t="s">
        <v>76</v>
      </c>
      <c r="L12" s="129">
        <f>L13+L16+L21+L24+L29+L33+L35+L37+L39+L41+L43+L45+L61+L63+L69+L71+L73+L75+L78+L80+L83+L85+L87+L90</f>
        <v>0</v>
      </c>
      <c r="M12" s="130"/>
      <c r="N12" s="86"/>
    </row>
    <row r="13" spans="1:47" ht="12.75">
      <c r="A13" s="131"/>
      <c r="B13" s="132" t="s">
        <v>135</v>
      </c>
      <c r="C13" s="132" t="s">
        <v>136</v>
      </c>
      <c r="D13" s="132"/>
      <c r="E13" s="132"/>
      <c r="F13" s="132"/>
      <c r="G13" s="132"/>
      <c r="H13" s="132"/>
      <c r="I13" s="133" t="s">
        <v>76</v>
      </c>
      <c r="J13" s="133" t="s">
        <v>112</v>
      </c>
      <c r="K13" s="133" t="s">
        <v>76</v>
      </c>
      <c r="L13" s="134">
        <f>SUM(L14:L15)</f>
        <v>0</v>
      </c>
      <c r="M13" s="135"/>
      <c r="N13" s="86"/>
      <c r="AI13" s="120"/>
      <c r="AS13" s="134">
        <f>SUM(AJ14:AJ15)</f>
        <v>0</v>
      </c>
      <c r="AT13" s="134">
        <f>SUM(AK14:AK15)</f>
        <v>0</v>
      </c>
      <c r="AU13" s="134">
        <f>SUM(AL14:AL15)</f>
        <v>0</v>
      </c>
    </row>
    <row r="14" spans="1:64" ht="21.75" customHeight="1">
      <c r="A14" s="104" t="s">
        <v>83</v>
      </c>
      <c r="B14" s="52" t="s">
        <v>137</v>
      </c>
      <c r="C14" s="52" t="s">
        <v>138</v>
      </c>
      <c r="D14" s="52"/>
      <c r="E14" s="52"/>
      <c r="F14" s="52"/>
      <c r="G14" s="52"/>
      <c r="H14" s="52"/>
      <c r="I14" s="52" t="s">
        <v>139</v>
      </c>
      <c r="J14" s="103">
        <v>7.68</v>
      </c>
      <c r="K14" s="136">
        <v>0</v>
      </c>
      <c r="L14" s="103">
        <f>J14*K14</f>
        <v>0</v>
      </c>
      <c r="M14" s="137" t="s">
        <v>140</v>
      </c>
      <c r="N14" s="86"/>
      <c r="Z14" s="103">
        <f>IF(AQ14="5",BJ14,0)</f>
        <v>0</v>
      </c>
      <c r="AB14" s="103">
        <f>IF(AQ14="1",BH14,0)</f>
        <v>0</v>
      </c>
      <c r="AC14" s="103">
        <f>IF(AQ14="1",BI14,0)</f>
        <v>0</v>
      </c>
      <c r="AD14" s="103">
        <f>IF(AQ14="7",BH14,0)</f>
        <v>0</v>
      </c>
      <c r="AE14" s="103">
        <f>IF(AQ14="7",BI14,0)</f>
        <v>0</v>
      </c>
      <c r="AF14" s="103">
        <f>IF(AQ14="2",BH14,0)</f>
        <v>0</v>
      </c>
      <c r="AG14" s="103">
        <f>IF(AQ14="2",BI14,0)</f>
        <v>0</v>
      </c>
      <c r="AH14" s="103">
        <f>IF(AQ14="0",BJ14,0)</f>
        <v>0</v>
      </c>
      <c r="AI14" s="120"/>
      <c r="AJ14" s="103">
        <f>IF(AN14=0,L14,0)</f>
        <v>0</v>
      </c>
      <c r="AK14" s="103">
        <f>IF(AN14=15,L14,0)</f>
        <v>0</v>
      </c>
      <c r="AL14" s="103">
        <f>IF(AN14=21,L14,0)</f>
        <v>0</v>
      </c>
      <c r="AN14" s="103">
        <v>21</v>
      </c>
      <c r="AO14" s="103">
        <f>K14*0</f>
        <v>0</v>
      </c>
      <c r="AP14" s="103">
        <f>K14*(1-0)</f>
        <v>0</v>
      </c>
      <c r="AQ14" s="138" t="s">
        <v>83</v>
      </c>
      <c r="AV14" s="103">
        <f>AW14+AX14</f>
        <v>0</v>
      </c>
      <c r="AW14" s="103">
        <f>J14*AO14</f>
        <v>0</v>
      </c>
      <c r="AX14" s="103">
        <f>J14*AP14</f>
        <v>0</v>
      </c>
      <c r="AY14" s="138" t="s">
        <v>141</v>
      </c>
      <c r="AZ14" s="138" t="s">
        <v>142</v>
      </c>
      <c r="BA14" s="120" t="s">
        <v>143</v>
      </c>
      <c r="BC14" s="103">
        <f>AW14+AX14</f>
        <v>0</v>
      </c>
      <c r="BD14" s="103">
        <f>K14/(100-BE14)*100</f>
        <v>0</v>
      </c>
      <c r="BE14" s="103">
        <v>0</v>
      </c>
      <c r="BF14" s="103">
        <f>14</f>
        <v>14</v>
      </c>
      <c r="BH14" s="103">
        <f>J14*AO14</f>
        <v>0</v>
      </c>
      <c r="BI14" s="103">
        <f>J14*AP14</f>
        <v>0</v>
      </c>
      <c r="BJ14" s="103">
        <f>J14*K14</f>
        <v>0</v>
      </c>
      <c r="BK14" s="103" t="s">
        <v>144</v>
      </c>
      <c r="BL14" s="103">
        <v>12</v>
      </c>
    </row>
    <row r="15" spans="1:64" ht="21.75" customHeight="1">
      <c r="A15" s="104" t="s">
        <v>86</v>
      </c>
      <c r="B15" s="52" t="s">
        <v>145</v>
      </c>
      <c r="C15" s="52" t="s">
        <v>146</v>
      </c>
      <c r="D15" s="52"/>
      <c r="E15" s="52"/>
      <c r="F15" s="52"/>
      <c r="G15" s="52"/>
      <c r="H15" s="52"/>
      <c r="I15" s="52" t="s">
        <v>139</v>
      </c>
      <c r="J15" s="103">
        <v>3.1</v>
      </c>
      <c r="K15" s="136">
        <v>0</v>
      </c>
      <c r="L15" s="103">
        <f>J15*K15</f>
        <v>0</v>
      </c>
      <c r="M15" s="137" t="s">
        <v>140</v>
      </c>
      <c r="N15" s="86"/>
      <c r="Z15" s="103">
        <f>IF(AQ15="5",BJ15,0)</f>
        <v>0</v>
      </c>
      <c r="AB15" s="103">
        <f>IF(AQ15="1",BH15,0)</f>
        <v>0</v>
      </c>
      <c r="AC15" s="103">
        <f>IF(AQ15="1",BI15,0)</f>
        <v>0</v>
      </c>
      <c r="AD15" s="103">
        <f>IF(AQ15="7",BH15,0)</f>
        <v>0</v>
      </c>
      <c r="AE15" s="103">
        <f>IF(AQ15="7",BI15,0)</f>
        <v>0</v>
      </c>
      <c r="AF15" s="103">
        <f>IF(AQ15="2",BH15,0)</f>
        <v>0</v>
      </c>
      <c r="AG15" s="103">
        <f>IF(AQ15="2",BI15,0)</f>
        <v>0</v>
      </c>
      <c r="AH15" s="103">
        <f>IF(AQ15="0",BJ15,0)</f>
        <v>0</v>
      </c>
      <c r="AI15" s="120"/>
      <c r="AJ15" s="103">
        <f>IF(AN15=0,L15,0)</f>
        <v>0</v>
      </c>
      <c r="AK15" s="103">
        <f>IF(AN15=15,L15,0)</f>
        <v>0</v>
      </c>
      <c r="AL15" s="103">
        <f>IF(AN15=21,L15,0)</f>
        <v>0</v>
      </c>
      <c r="AN15" s="103">
        <v>21</v>
      </c>
      <c r="AO15" s="103">
        <f>K15*0</f>
        <v>0</v>
      </c>
      <c r="AP15" s="103">
        <f>K15*(1-0)</f>
        <v>0</v>
      </c>
      <c r="AQ15" s="138" t="s">
        <v>83</v>
      </c>
      <c r="AV15" s="103">
        <f>AW15+AX15</f>
        <v>0</v>
      </c>
      <c r="AW15" s="103">
        <f>J15*AO15</f>
        <v>0</v>
      </c>
      <c r="AX15" s="103">
        <f>J15*AP15</f>
        <v>0</v>
      </c>
      <c r="AY15" s="138" t="s">
        <v>141</v>
      </c>
      <c r="AZ15" s="138" t="s">
        <v>142</v>
      </c>
      <c r="BA15" s="120" t="s">
        <v>143</v>
      </c>
      <c r="BC15" s="103">
        <f>AW15+AX15</f>
        <v>0</v>
      </c>
      <c r="BD15" s="103">
        <f>K15/(100-BE15)*100</f>
        <v>0</v>
      </c>
      <c r="BE15" s="103">
        <v>0</v>
      </c>
      <c r="BF15" s="103">
        <f>15</f>
        <v>15</v>
      </c>
      <c r="BH15" s="103">
        <f>J15*AO15</f>
        <v>0</v>
      </c>
      <c r="BI15" s="103">
        <f>J15*AP15</f>
        <v>0</v>
      </c>
      <c r="BJ15" s="103">
        <f>J15*K15</f>
        <v>0</v>
      </c>
      <c r="BK15" s="103" t="s">
        <v>144</v>
      </c>
      <c r="BL15" s="103">
        <v>12</v>
      </c>
    </row>
    <row r="16" spans="1:47" ht="21.75" customHeight="1">
      <c r="A16" s="131"/>
      <c r="B16" s="132" t="s">
        <v>147</v>
      </c>
      <c r="C16" s="132" t="s">
        <v>148</v>
      </c>
      <c r="D16" s="132"/>
      <c r="E16" s="132"/>
      <c r="F16" s="132"/>
      <c r="G16" s="132"/>
      <c r="H16" s="132"/>
      <c r="I16" s="133" t="s">
        <v>76</v>
      </c>
      <c r="J16" s="133" t="s">
        <v>76</v>
      </c>
      <c r="K16" s="133" t="s">
        <v>76</v>
      </c>
      <c r="L16" s="134">
        <f>SUM(L17:L20)</f>
        <v>0</v>
      </c>
      <c r="M16" s="135"/>
      <c r="N16" s="86"/>
      <c r="AI16" s="120"/>
      <c r="AS16" s="134">
        <f>SUM(AJ17:AJ20)</f>
        <v>0</v>
      </c>
      <c r="AT16" s="134">
        <f>SUM(AK17:AK20)</f>
        <v>0</v>
      </c>
      <c r="AU16" s="134">
        <f>SUM(AL17:AL20)</f>
        <v>0</v>
      </c>
    </row>
    <row r="17" spans="1:64" ht="21.75" customHeight="1">
      <c r="A17" s="104" t="s">
        <v>88</v>
      </c>
      <c r="B17" s="52" t="s">
        <v>149</v>
      </c>
      <c r="C17" s="52" t="s">
        <v>150</v>
      </c>
      <c r="D17" s="52"/>
      <c r="E17" s="52"/>
      <c r="F17" s="52"/>
      <c r="G17" s="52"/>
      <c r="H17" s="52"/>
      <c r="I17" s="52" t="s">
        <v>139</v>
      </c>
      <c r="J17" s="103">
        <v>17.12</v>
      </c>
      <c r="K17" s="136">
        <v>0</v>
      </c>
      <c r="L17" s="103">
        <f>J17*K17</f>
        <v>0</v>
      </c>
      <c r="M17" s="137" t="s">
        <v>140</v>
      </c>
      <c r="N17" s="86"/>
      <c r="Z17" s="103">
        <f>IF(AQ17="5",BJ17,0)</f>
        <v>0</v>
      </c>
      <c r="AB17" s="103">
        <f>IF(AQ17="1",BH17,0)</f>
        <v>0</v>
      </c>
      <c r="AC17" s="103">
        <f>IF(AQ17="1",BI17,0)</f>
        <v>0</v>
      </c>
      <c r="AD17" s="103">
        <f>IF(AQ17="7",BH17,0)</f>
        <v>0</v>
      </c>
      <c r="AE17" s="103">
        <f>IF(AQ17="7",BI17,0)</f>
        <v>0</v>
      </c>
      <c r="AF17" s="103">
        <f>IF(AQ17="2",BH17,0)</f>
        <v>0</v>
      </c>
      <c r="AG17" s="103">
        <f>IF(AQ17="2",BI17,0)</f>
        <v>0</v>
      </c>
      <c r="AH17" s="103">
        <f>IF(AQ17="0",BJ17,0)</f>
        <v>0</v>
      </c>
      <c r="AI17" s="120"/>
      <c r="AJ17" s="103">
        <f>IF(AN17=0,L17,0)</f>
        <v>0</v>
      </c>
      <c r="AK17" s="103">
        <f>IF(AN17=15,L17,0)</f>
        <v>0</v>
      </c>
      <c r="AL17" s="103">
        <f>IF(AN17=21,L17,0)</f>
        <v>0</v>
      </c>
      <c r="AN17" s="103">
        <v>21</v>
      </c>
      <c r="AO17" s="103">
        <f>K17*0</f>
        <v>0</v>
      </c>
      <c r="AP17" s="103">
        <f>K17*(1-0)</f>
        <v>0</v>
      </c>
      <c r="AQ17" s="138" t="s">
        <v>83</v>
      </c>
      <c r="AV17" s="103">
        <f>AW17+AX17</f>
        <v>0</v>
      </c>
      <c r="AW17" s="103">
        <f>J17*AO17</f>
        <v>0</v>
      </c>
      <c r="AX17" s="103">
        <f>J17*AP17</f>
        <v>0</v>
      </c>
      <c r="AY17" s="138" t="s">
        <v>151</v>
      </c>
      <c r="AZ17" s="138" t="s">
        <v>142</v>
      </c>
      <c r="BA17" s="120" t="s">
        <v>143</v>
      </c>
      <c r="BC17" s="103">
        <f>AW17+AX17</f>
        <v>0</v>
      </c>
      <c r="BD17" s="103">
        <f>K17/(100-BE17)*100</f>
        <v>0</v>
      </c>
      <c r="BE17" s="103">
        <v>0</v>
      </c>
      <c r="BF17" s="103">
        <f>17</f>
        <v>17</v>
      </c>
      <c r="BH17" s="103">
        <f>J17*AO17</f>
        <v>0</v>
      </c>
      <c r="BI17" s="103">
        <f>J17*AP17</f>
        <v>0</v>
      </c>
      <c r="BJ17" s="103">
        <f>J17*K17</f>
        <v>0</v>
      </c>
      <c r="BK17" s="103" t="s">
        <v>144</v>
      </c>
      <c r="BL17" s="103">
        <v>13</v>
      </c>
    </row>
    <row r="18" spans="1:64" ht="21.75" customHeight="1">
      <c r="A18" s="104" t="s">
        <v>152</v>
      </c>
      <c r="B18" s="52" t="s">
        <v>153</v>
      </c>
      <c r="C18" s="52" t="s">
        <v>154</v>
      </c>
      <c r="D18" s="52"/>
      <c r="E18" s="52"/>
      <c r="F18" s="52"/>
      <c r="G18" s="52"/>
      <c r="H18" s="52"/>
      <c r="I18" s="52" t="s">
        <v>139</v>
      </c>
      <c r="J18" s="103">
        <v>11.12</v>
      </c>
      <c r="K18" s="136">
        <v>0</v>
      </c>
      <c r="L18" s="103">
        <f>J18*K18</f>
        <v>0</v>
      </c>
      <c r="M18" s="137" t="s">
        <v>140</v>
      </c>
      <c r="N18" s="86"/>
      <c r="Z18" s="103">
        <f>IF(AQ18="5",BJ18,0)</f>
        <v>0</v>
      </c>
      <c r="AB18" s="103">
        <f>IF(AQ18="1",BH18,0)</f>
        <v>0</v>
      </c>
      <c r="AC18" s="103">
        <f>IF(AQ18="1",BI18,0)</f>
        <v>0</v>
      </c>
      <c r="AD18" s="103">
        <f>IF(AQ18="7",BH18,0)</f>
        <v>0</v>
      </c>
      <c r="AE18" s="103">
        <f>IF(AQ18="7",BI18,0)</f>
        <v>0</v>
      </c>
      <c r="AF18" s="103">
        <f>IF(AQ18="2",BH18,0)</f>
        <v>0</v>
      </c>
      <c r="AG18" s="103">
        <f>IF(AQ18="2",BI18,0)</f>
        <v>0</v>
      </c>
      <c r="AH18" s="103">
        <f>IF(AQ18="0",BJ18,0)</f>
        <v>0</v>
      </c>
      <c r="AI18" s="120"/>
      <c r="AJ18" s="103">
        <f>IF(AN18=0,L18,0)</f>
        <v>0</v>
      </c>
      <c r="AK18" s="103">
        <f>IF(AN18=15,L18,0)</f>
        <v>0</v>
      </c>
      <c r="AL18" s="103">
        <f>IF(AN18=21,L18,0)</f>
        <v>0</v>
      </c>
      <c r="AN18" s="103">
        <v>21</v>
      </c>
      <c r="AO18" s="103">
        <f>K18*0</f>
        <v>0</v>
      </c>
      <c r="AP18" s="103">
        <f>K18*(1-0)</f>
        <v>0</v>
      </c>
      <c r="AQ18" s="138" t="s">
        <v>83</v>
      </c>
      <c r="AV18" s="103">
        <f>AW18+AX18</f>
        <v>0</v>
      </c>
      <c r="AW18" s="103">
        <f>J18*AO18</f>
        <v>0</v>
      </c>
      <c r="AX18" s="103">
        <f>J18*AP18</f>
        <v>0</v>
      </c>
      <c r="AY18" s="138" t="s">
        <v>151</v>
      </c>
      <c r="AZ18" s="138" t="s">
        <v>142</v>
      </c>
      <c r="BA18" s="120" t="s">
        <v>143</v>
      </c>
      <c r="BC18" s="103">
        <f>AW18+AX18</f>
        <v>0</v>
      </c>
      <c r="BD18" s="103">
        <f>K18/(100-BE18)*100</f>
        <v>0</v>
      </c>
      <c r="BE18" s="103">
        <v>0</v>
      </c>
      <c r="BF18" s="103">
        <f>18</f>
        <v>18</v>
      </c>
      <c r="BH18" s="103">
        <f>J18*AO18</f>
        <v>0</v>
      </c>
      <c r="BI18" s="103">
        <f>J18*AP18</f>
        <v>0</v>
      </c>
      <c r="BJ18" s="103">
        <f>J18*K18</f>
        <v>0</v>
      </c>
      <c r="BK18" s="103" t="s">
        <v>144</v>
      </c>
      <c r="BL18" s="103">
        <v>13</v>
      </c>
    </row>
    <row r="19" spans="1:64" ht="21.75" customHeight="1">
      <c r="A19" s="104" t="s">
        <v>155</v>
      </c>
      <c r="B19" s="52" t="s">
        <v>156</v>
      </c>
      <c r="C19" s="52" t="s">
        <v>157</v>
      </c>
      <c r="D19" s="52"/>
      <c r="E19" s="52"/>
      <c r="F19" s="52"/>
      <c r="G19" s="52"/>
      <c r="H19" s="52"/>
      <c r="I19" s="52" t="s">
        <v>139</v>
      </c>
      <c r="J19" s="103">
        <v>17.12</v>
      </c>
      <c r="K19" s="136">
        <v>0</v>
      </c>
      <c r="L19" s="103">
        <f>J19*K19</f>
        <v>0</v>
      </c>
      <c r="M19" s="137" t="s">
        <v>140</v>
      </c>
      <c r="N19" s="86"/>
      <c r="Z19" s="103">
        <f>IF(AQ19="5",BJ19,0)</f>
        <v>0</v>
      </c>
      <c r="AB19" s="103">
        <f>IF(AQ19="1",BH19,0)</f>
        <v>0</v>
      </c>
      <c r="AC19" s="103">
        <f>IF(AQ19="1",BI19,0)</f>
        <v>0</v>
      </c>
      <c r="AD19" s="103">
        <f>IF(AQ19="7",BH19,0)</f>
        <v>0</v>
      </c>
      <c r="AE19" s="103">
        <f>IF(AQ19="7",BI19,0)</f>
        <v>0</v>
      </c>
      <c r="AF19" s="103">
        <f>IF(AQ19="2",BH19,0)</f>
        <v>0</v>
      </c>
      <c r="AG19" s="103">
        <f>IF(AQ19="2",BI19,0)</f>
        <v>0</v>
      </c>
      <c r="AH19" s="103">
        <f>IF(AQ19="0",BJ19,0)</f>
        <v>0</v>
      </c>
      <c r="AI19" s="120"/>
      <c r="AJ19" s="103">
        <f>IF(AN19=0,L19,0)</f>
        <v>0</v>
      </c>
      <c r="AK19" s="103">
        <f>IF(AN19=15,L19,0)</f>
        <v>0</v>
      </c>
      <c r="AL19" s="103">
        <f>IF(AN19=21,L19,0)</f>
        <v>0</v>
      </c>
      <c r="AN19" s="103">
        <v>21</v>
      </c>
      <c r="AO19" s="103">
        <f>K19*0</f>
        <v>0</v>
      </c>
      <c r="AP19" s="103">
        <f>K19*(1-0)</f>
        <v>0</v>
      </c>
      <c r="AQ19" s="138" t="s">
        <v>83</v>
      </c>
      <c r="AV19" s="103">
        <f>AW19+AX19</f>
        <v>0</v>
      </c>
      <c r="AW19" s="103">
        <f>J19*AO19</f>
        <v>0</v>
      </c>
      <c r="AX19" s="103">
        <f>J19*AP19</f>
        <v>0</v>
      </c>
      <c r="AY19" s="138" t="s">
        <v>151</v>
      </c>
      <c r="AZ19" s="138" t="s">
        <v>142</v>
      </c>
      <c r="BA19" s="120" t="s">
        <v>143</v>
      </c>
      <c r="BC19" s="103">
        <f>AW19+AX19</f>
        <v>0</v>
      </c>
      <c r="BD19" s="103">
        <f>K19/(100-BE19)*100</f>
        <v>0</v>
      </c>
      <c r="BE19" s="103">
        <v>0</v>
      </c>
      <c r="BF19" s="103">
        <f>19</f>
        <v>19</v>
      </c>
      <c r="BH19" s="103">
        <f>J19*AO19</f>
        <v>0</v>
      </c>
      <c r="BI19" s="103">
        <f>J19*AP19</f>
        <v>0</v>
      </c>
      <c r="BJ19" s="103">
        <f>J19*K19</f>
        <v>0</v>
      </c>
      <c r="BK19" s="103" t="s">
        <v>144</v>
      </c>
      <c r="BL19" s="103">
        <v>13</v>
      </c>
    </row>
    <row r="20" spans="1:64" ht="21.75" customHeight="1">
      <c r="A20" s="104" t="s">
        <v>90</v>
      </c>
      <c r="B20" s="52" t="s">
        <v>158</v>
      </c>
      <c r="C20" s="52" t="s">
        <v>159</v>
      </c>
      <c r="D20" s="52"/>
      <c r="E20" s="52"/>
      <c r="F20" s="52"/>
      <c r="G20" s="52"/>
      <c r="H20" s="52"/>
      <c r="I20" s="52" t="s">
        <v>139</v>
      </c>
      <c r="J20" s="103">
        <v>22.24</v>
      </c>
      <c r="K20" s="136">
        <v>0</v>
      </c>
      <c r="L20" s="103">
        <f>J20*K20</f>
        <v>0</v>
      </c>
      <c r="M20" s="137" t="s">
        <v>140</v>
      </c>
      <c r="N20" s="86"/>
      <c r="Z20" s="103">
        <f>IF(AQ20="5",BJ20,0)</f>
        <v>0</v>
      </c>
      <c r="AB20" s="103">
        <f>IF(AQ20="1",BH20,0)</f>
        <v>0</v>
      </c>
      <c r="AC20" s="103">
        <f>IF(AQ20="1",BI20,0)</f>
        <v>0</v>
      </c>
      <c r="AD20" s="103">
        <f>IF(AQ20="7",BH20,0)</f>
        <v>0</v>
      </c>
      <c r="AE20" s="103">
        <f>IF(AQ20="7",BI20,0)</f>
        <v>0</v>
      </c>
      <c r="AF20" s="103">
        <f>IF(AQ20="2",BH20,0)</f>
        <v>0</v>
      </c>
      <c r="AG20" s="103">
        <f>IF(AQ20="2",BI20,0)</f>
        <v>0</v>
      </c>
      <c r="AH20" s="103">
        <f>IF(AQ20="0",BJ20,0)</f>
        <v>0</v>
      </c>
      <c r="AI20" s="120"/>
      <c r="AJ20" s="103">
        <f>IF(AN20=0,L20,0)</f>
        <v>0</v>
      </c>
      <c r="AK20" s="103">
        <f>IF(AN20=15,L20,0)</f>
        <v>0</v>
      </c>
      <c r="AL20" s="103">
        <f>IF(AN20=21,L20,0)</f>
        <v>0</v>
      </c>
      <c r="AN20" s="103">
        <v>21</v>
      </c>
      <c r="AO20" s="103">
        <f>K20*0</f>
        <v>0</v>
      </c>
      <c r="AP20" s="103">
        <f>K20*(1-0)</f>
        <v>0</v>
      </c>
      <c r="AQ20" s="138" t="s">
        <v>83</v>
      </c>
      <c r="AV20" s="103">
        <f>AW20+AX20</f>
        <v>0</v>
      </c>
      <c r="AW20" s="103">
        <f>J20*AO20</f>
        <v>0</v>
      </c>
      <c r="AX20" s="103">
        <f>J20*AP20</f>
        <v>0</v>
      </c>
      <c r="AY20" s="138" t="s">
        <v>151</v>
      </c>
      <c r="AZ20" s="138" t="s">
        <v>142</v>
      </c>
      <c r="BA20" s="120" t="s">
        <v>143</v>
      </c>
      <c r="BC20" s="103">
        <f>AW20+AX20</f>
        <v>0</v>
      </c>
      <c r="BD20" s="103">
        <f>K20/(100-BE20)*100</f>
        <v>0</v>
      </c>
      <c r="BE20" s="103">
        <v>0</v>
      </c>
      <c r="BF20" s="103">
        <f>20</f>
        <v>20</v>
      </c>
      <c r="BH20" s="103">
        <f>J20*AO20</f>
        <v>0</v>
      </c>
      <c r="BI20" s="103">
        <f>J20*AP20</f>
        <v>0</v>
      </c>
      <c r="BJ20" s="103">
        <f>J20*K20</f>
        <v>0</v>
      </c>
      <c r="BK20" s="103" t="s">
        <v>144</v>
      </c>
      <c r="BL20" s="103">
        <v>13</v>
      </c>
    </row>
    <row r="21" spans="1:47" ht="21.75" customHeight="1">
      <c r="A21" s="131"/>
      <c r="B21" s="132" t="s">
        <v>160</v>
      </c>
      <c r="C21" s="132" t="s">
        <v>161</v>
      </c>
      <c r="D21" s="132"/>
      <c r="E21" s="132"/>
      <c r="F21" s="132"/>
      <c r="G21" s="132"/>
      <c r="H21" s="132"/>
      <c r="I21" s="133" t="s">
        <v>76</v>
      </c>
      <c r="J21" s="133" t="s">
        <v>76</v>
      </c>
      <c r="K21" s="133" t="s">
        <v>76</v>
      </c>
      <c r="L21" s="134">
        <f>SUM(L22:L23)</f>
        <v>0</v>
      </c>
      <c r="M21" s="135"/>
      <c r="N21" s="86"/>
      <c r="AI21" s="120"/>
      <c r="AS21" s="134">
        <f>SUM(AJ22:AJ23)</f>
        <v>0</v>
      </c>
      <c r="AT21" s="134">
        <f>SUM(AK22:AK23)</f>
        <v>0</v>
      </c>
      <c r="AU21" s="134">
        <f>SUM(AL22:AL23)</f>
        <v>0</v>
      </c>
    </row>
    <row r="22" spans="1:64" ht="21.75" customHeight="1">
      <c r="A22" s="104" t="s">
        <v>162</v>
      </c>
      <c r="B22" s="52" t="s">
        <v>163</v>
      </c>
      <c r="C22" s="52" t="s">
        <v>164</v>
      </c>
      <c r="D22" s="52"/>
      <c r="E22" s="52"/>
      <c r="F22" s="52"/>
      <c r="G22" s="52"/>
      <c r="H22" s="52"/>
      <c r="I22" s="52" t="s">
        <v>165</v>
      </c>
      <c r="J22" s="103">
        <v>11.2</v>
      </c>
      <c r="K22" s="136">
        <v>0</v>
      </c>
      <c r="L22" s="103">
        <f>J22*K22</f>
        <v>0</v>
      </c>
      <c r="M22" s="137" t="s">
        <v>140</v>
      </c>
      <c r="N22" s="86"/>
      <c r="Z22" s="103">
        <f>IF(AQ22="5",BJ22,0)</f>
        <v>0</v>
      </c>
      <c r="AB22" s="103">
        <f>IF(AQ22="1",BH22,0)</f>
        <v>0</v>
      </c>
      <c r="AC22" s="103">
        <f>IF(AQ22="1",BI22,0)</f>
        <v>0</v>
      </c>
      <c r="AD22" s="103">
        <f>IF(AQ22="7",BH22,0)</f>
        <v>0</v>
      </c>
      <c r="AE22" s="103">
        <f>IF(AQ22="7",BI22,0)</f>
        <v>0</v>
      </c>
      <c r="AF22" s="103">
        <f>IF(AQ22="2",BH22,0)</f>
        <v>0</v>
      </c>
      <c r="AG22" s="103">
        <f>IF(AQ22="2",BI22,0)</f>
        <v>0</v>
      </c>
      <c r="AH22" s="103">
        <f>IF(AQ22="0",BJ22,0)</f>
        <v>0</v>
      </c>
      <c r="AI22" s="120"/>
      <c r="AJ22" s="103">
        <f>IF(AN22=0,L22,0)</f>
        <v>0</v>
      </c>
      <c r="AK22" s="103">
        <f>IF(AN22=15,L22,0)</f>
        <v>0</v>
      </c>
      <c r="AL22" s="103">
        <f>IF(AN22=21,L22,0)</f>
        <v>0</v>
      </c>
      <c r="AN22" s="103">
        <v>21</v>
      </c>
      <c r="AO22" s="103">
        <f>K22*0.15992911820158</f>
        <v>0</v>
      </c>
      <c r="AP22" s="103">
        <f>K22*(1-0.15992911820158)</f>
        <v>0</v>
      </c>
      <c r="AQ22" s="138" t="s">
        <v>83</v>
      </c>
      <c r="AV22" s="103">
        <f>AW22+AX22</f>
        <v>0</v>
      </c>
      <c r="AW22" s="103">
        <f>J22*AO22</f>
        <v>0</v>
      </c>
      <c r="AX22" s="103">
        <f>J22*AP22</f>
        <v>0</v>
      </c>
      <c r="AY22" s="138" t="s">
        <v>166</v>
      </c>
      <c r="AZ22" s="138" t="s">
        <v>142</v>
      </c>
      <c r="BA22" s="120" t="s">
        <v>143</v>
      </c>
      <c r="BC22" s="103">
        <f>AW22+AX22</f>
        <v>0</v>
      </c>
      <c r="BD22" s="103">
        <f>K22/(100-BE22)*100</f>
        <v>0</v>
      </c>
      <c r="BE22" s="103">
        <v>0</v>
      </c>
      <c r="BF22" s="103">
        <f>22</f>
        <v>22</v>
      </c>
      <c r="BH22" s="103">
        <f>J22*AO22</f>
        <v>0</v>
      </c>
      <c r="BI22" s="103">
        <f>J22*AP22</f>
        <v>0</v>
      </c>
      <c r="BJ22" s="103">
        <f>J22*K22</f>
        <v>0</v>
      </c>
      <c r="BK22" s="103" t="s">
        <v>144</v>
      </c>
      <c r="BL22" s="103">
        <v>15</v>
      </c>
    </row>
    <row r="23" spans="1:64" ht="21.75" customHeight="1">
      <c r="A23" s="104" t="s">
        <v>98</v>
      </c>
      <c r="B23" s="52" t="s">
        <v>167</v>
      </c>
      <c r="C23" s="52" t="s">
        <v>168</v>
      </c>
      <c r="D23" s="52"/>
      <c r="E23" s="52"/>
      <c r="F23" s="52"/>
      <c r="G23" s="52"/>
      <c r="H23" s="52"/>
      <c r="I23" s="52" t="s">
        <v>165</v>
      </c>
      <c r="J23" s="103">
        <v>11.2</v>
      </c>
      <c r="K23" s="136">
        <v>0</v>
      </c>
      <c r="L23" s="103">
        <f>J23*K23</f>
        <v>0</v>
      </c>
      <c r="M23" s="137" t="s">
        <v>140</v>
      </c>
      <c r="N23" s="86"/>
      <c r="Z23" s="103">
        <f>IF(AQ23="5",BJ23,0)</f>
        <v>0</v>
      </c>
      <c r="AB23" s="103">
        <f>IF(AQ23="1",BH23,0)</f>
        <v>0</v>
      </c>
      <c r="AC23" s="103">
        <f>IF(AQ23="1",BI23,0)</f>
        <v>0</v>
      </c>
      <c r="AD23" s="103">
        <f>IF(AQ23="7",BH23,0)</f>
        <v>0</v>
      </c>
      <c r="AE23" s="103">
        <f>IF(AQ23="7",BI23,0)</f>
        <v>0</v>
      </c>
      <c r="AF23" s="103">
        <f>IF(AQ23="2",BH23,0)</f>
        <v>0</v>
      </c>
      <c r="AG23" s="103">
        <f>IF(AQ23="2",BI23,0)</f>
        <v>0</v>
      </c>
      <c r="AH23" s="103">
        <f>IF(AQ23="0",BJ23,0)</f>
        <v>0</v>
      </c>
      <c r="AI23" s="120"/>
      <c r="AJ23" s="103">
        <f>IF(AN23=0,L23,0)</f>
        <v>0</v>
      </c>
      <c r="AK23" s="103">
        <f>IF(AN23=15,L23,0)</f>
        <v>0</v>
      </c>
      <c r="AL23" s="103">
        <f>IF(AN23=21,L23,0)</f>
        <v>0</v>
      </c>
      <c r="AN23" s="103">
        <v>21</v>
      </c>
      <c r="AO23" s="103">
        <f>K23*0</f>
        <v>0</v>
      </c>
      <c r="AP23" s="103">
        <f>K23*(1-0)</f>
        <v>0</v>
      </c>
      <c r="AQ23" s="138" t="s">
        <v>83</v>
      </c>
      <c r="AV23" s="103">
        <f>AW23+AX23</f>
        <v>0</v>
      </c>
      <c r="AW23" s="103">
        <f>J23*AO23</f>
        <v>0</v>
      </c>
      <c r="AX23" s="103">
        <f>J23*AP23</f>
        <v>0</v>
      </c>
      <c r="AY23" s="138" t="s">
        <v>166</v>
      </c>
      <c r="AZ23" s="138" t="s">
        <v>142</v>
      </c>
      <c r="BA23" s="120" t="s">
        <v>143</v>
      </c>
      <c r="BC23" s="103">
        <f>AW23+AX23</f>
        <v>0</v>
      </c>
      <c r="BD23" s="103">
        <f>K23/(100-BE23)*100</f>
        <v>0</v>
      </c>
      <c r="BE23" s="103">
        <v>0</v>
      </c>
      <c r="BF23" s="103">
        <f>23</f>
        <v>23</v>
      </c>
      <c r="BH23" s="103">
        <f>J23*AO23</f>
        <v>0</v>
      </c>
      <c r="BI23" s="103">
        <f>J23*AP23</f>
        <v>0</v>
      </c>
      <c r="BJ23" s="103">
        <f>J23*K23</f>
        <v>0</v>
      </c>
      <c r="BK23" s="103" t="s">
        <v>144</v>
      </c>
      <c r="BL23" s="103">
        <v>15</v>
      </c>
    </row>
    <row r="24" spans="1:47" ht="21.75" customHeight="1">
      <c r="A24" s="131"/>
      <c r="B24" s="132" t="s">
        <v>169</v>
      </c>
      <c r="C24" s="132" t="s">
        <v>170</v>
      </c>
      <c r="D24" s="132"/>
      <c r="E24" s="132"/>
      <c r="F24" s="132"/>
      <c r="G24" s="132"/>
      <c r="H24" s="132"/>
      <c r="I24" s="133" t="s">
        <v>76</v>
      </c>
      <c r="J24" s="133" t="s">
        <v>76</v>
      </c>
      <c r="K24" s="133" t="s">
        <v>76</v>
      </c>
      <c r="L24" s="134">
        <f>SUM(L25:L28)</f>
        <v>0</v>
      </c>
      <c r="M24" s="135"/>
      <c r="N24" s="86"/>
      <c r="AI24" s="120"/>
      <c r="AS24" s="134">
        <f>SUM(AJ25:AJ28)</f>
        <v>0</v>
      </c>
      <c r="AT24" s="134">
        <f>SUM(AK25:AK28)</f>
        <v>0</v>
      </c>
      <c r="AU24" s="134">
        <f>SUM(AL25:AL28)</f>
        <v>0</v>
      </c>
    </row>
    <row r="25" spans="1:64" ht="21.75" customHeight="1">
      <c r="A25" s="104" t="s">
        <v>100</v>
      </c>
      <c r="B25" s="52" t="s">
        <v>171</v>
      </c>
      <c r="C25" s="52" t="s">
        <v>172</v>
      </c>
      <c r="D25" s="52"/>
      <c r="E25" s="52"/>
      <c r="F25" s="52"/>
      <c r="G25" s="52"/>
      <c r="H25" s="52"/>
      <c r="I25" s="52" t="s">
        <v>139</v>
      </c>
      <c r="J25" s="103">
        <v>6.88</v>
      </c>
      <c r="K25" s="136">
        <v>0</v>
      </c>
      <c r="L25" s="103">
        <f>J25*K25</f>
        <v>0</v>
      </c>
      <c r="M25" s="137" t="s">
        <v>140</v>
      </c>
      <c r="N25" s="86"/>
      <c r="Z25" s="103">
        <f>IF(AQ25="5",BJ25,0)</f>
        <v>0</v>
      </c>
      <c r="AB25" s="103">
        <f>IF(AQ25="1",BH25,0)</f>
        <v>0</v>
      </c>
      <c r="AC25" s="103">
        <f>IF(AQ25="1",BI25,0)</f>
        <v>0</v>
      </c>
      <c r="AD25" s="103">
        <f>IF(AQ25="7",BH25,0)</f>
        <v>0</v>
      </c>
      <c r="AE25" s="103">
        <f>IF(AQ25="7",BI25,0)</f>
        <v>0</v>
      </c>
      <c r="AF25" s="103">
        <f>IF(AQ25="2",BH25,0)</f>
        <v>0</v>
      </c>
      <c r="AG25" s="103">
        <f>IF(AQ25="2",BI25,0)</f>
        <v>0</v>
      </c>
      <c r="AH25" s="103">
        <f>IF(AQ25="0",BJ25,0)</f>
        <v>0</v>
      </c>
      <c r="AI25" s="120"/>
      <c r="AJ25" s="103">
        <f>IF(AN25=0,L25,0)</f>
        <v>0</v>
      </c>
      <c r="AK25" s="103">
        <f>IF(AN25=15,L25,0)</f>
        <v>0</v>
      </c>
      <c r="AL25" s="103">
        <f>IF(AN25=21,L25,0)</f>
        <v>0</v>
      </c>
      <c r="AN25" s="103">
        <v>21</v>
      </c>
      <c r="AO25" s="103">
        <f>K25*0</f>
        <v>0</v>
      </c>
      <c r="AP25" s="103">
        <f>K25*(1-0)</f>
        <v>0</v>
      </c>
      <c r="AQ25" s="138" t="s">
        <v>83</v>
      </c>
      <c r="AV25" s="103">
        <f>AW25+AX25</f>
        <v>0</v>
      </c>
      <c r="AW25" s="103">
        <f>J25*AO25</f>
        <v>0</v>
      </c>
      <c r="AX25" s="103">
        <f>J25*AP25</f>
        <v>0</v>
      </c>
      <c r="AY25" s="138" t="s">
        <v>173</v>
      </c>
      <c r="AZ25" s="138" t="s">
        <v>142</v>
      </c>
      <c r="BA25" s="120" t="s">
        <v>143</v>
      </c>
      <c r="BC25" s="103">
        <f>AW25+AX25</f>
        <v>0</v>
      </c>
      <c r="BD25" s="103">
        <f>K25/(100-BE25)*100</f>
        <v>0</v>
      </c>
      <c r="BE25" s="103">
        <v>0</v>
      </c>
      <c r="BF25" s="103">
        <f>25</f>
        <v>25</v>
      </c>
      <c r="BH25" s="103">
        <f>J25*AO25</f>
        <v>0</v>
      </c>
      <c r="BI25" s="103">
        <f>J25*AP25</f>
        <v>0</v>
      </c>
      <c r="BJ25" s="103">
        <f>J25*K25</f>
        <v>0</v>
      </c>
      <c r="BK25" s="103" t="s">
        <v>144</v>
      </c>
      <c r="BL25" s="103">
        <v>16</v>
      </c>
    </row>
    <row r="26" spans="1:64" ht="21.75" customHeight="1">
      <c r="A26" s="104" t="s">
        <v>174</v>
      </c>
      <c r="B26" s="52" t="s">
        <v>175</v>
      </c>
      <c r="C26" s="52" t="s">
        <v>176</v>
      </c>
      <c r="D26" s="52"/>
      <c r="E26" s="52"/>
      <c r="F26" s="52"/>
      <c r="G26" s="52"/>
      <c r="H26" s="52"/>
      <c r="I26" s="52" t="s">
        <v>139</v>
      </c>
      <c r="J26" s="103">
        <v>16.3</v>
      </c>
      <c r="K26" s="136">
        <v>0</v>
      </c>
      <c r="L26" s="103">
        <f>J26*K26</f>
        <v>0</v>
      </c>
      <c r="M26" s="137" t="s">
        <v>140</v>
      </c>
      <c r="N26" s="86"/>
      <c r="Z26" s="103">
        <f>IF(AQ26="5",BJ26,0)</f>
        <v>0</v>
      </c>
      <c r="AB26" s="103">
        <f>IF(AQ26="1",BH26,0)</f>
        <v>0</v>
      </c>
      <c r="AC26" s="103">
        <f>IF(AQ26="1",BI26,0)</f>
        <v>0</v>
      </c>
      <c r="AD26" s="103">
        <f>IF(AQ26="7",BH26,0)</f>
        <v>0</v>
      </c>
      <c r="AE26" s="103">
        <f>IF(AQ26="7",BI26,0)</f>
        <v>0</v>
      </c>
      <c r="AF26" s="103">
        <f>IF(AQ26="2",BH26,0)</f>
        <v>0</v>
      </c>
      <c r="AG26" s="103">
        <f>IF(AQ26="2",BI26,0)</f>
        <v>0</v>
      </c>
      <c r="AH26" s="103">
        <f>IF(AQ26="0",BJ26,0)</f>
        <v>0</v>
      </c>
      <c r="AI26" s="120"/>
      <c r="AJ26" s="103">
        <f>IF(AN26=0,L26,0)</f>
        <v>0</v>
      </c>
      <c r="AK26" s="103">
        <f>IF(AN26=15,L26,0)</f>
        <v>0</v>
      </c>
      <c r="AL26" s="103">
        <f>IF(AN26=21,L26,0)</f>
        <v>0</v>
      </c>
      <c r="AN26" s="103">
        <v>21</v>
      </c>
      <c r="AO26" s="103">
        <f>K26*0</f>
        <v>0</v>
      </c>
      <c r="AP26" s="103">
        <f>K26*(1-0)</f>
        <v>0</v>
      </c>
      <c r="AQ26" s="138" t="s">
        <v>83</v>
      </c>
      <c r="AV26" s="103">
        <f>AW26+AX26</f>
        <v>0</v>
      </c>
      <c r="AW26" s="103">
        <f>J26*AO26</f>
        <v>0</v>
      </c>
      <c r="AX26" s="103">
        <f>J26*AP26</f>
        <v>0</v>
      </c>
      <c r="AY26" s="138" t="s">
        <v>173</v>
      </c>
      <c r="AZ26" s="138" t="s">
        <v>142</v>
      </c>
      <c r="BA26" s="120" t="s">
        <v>143</v>
      </c>
      <c r="BB26" s="120" t="s">
        <v>177</v>
      </c>
      <c r="BC26" s="103">
        <f>AW26+AX26</f>
        <v>0</v>
      </c>
      <c r="BD26" s="103">
        <f>K26/(100-BE26)*100</f>
        <v>0</v>
      </c>
      <c r="BE26" s="103">
        <v>0</v>
      </c>
      <c r="BF26" s="103">
        <f>26</f>
        <v>26</v>
      </c>
      <c r="BH26" s="103">
        <f>J26*AO26</f>
        <v>0</v>
      </c>
      <c r="BI26" s="103">
        <f>J26*AP26</f>
        <v>0</v>
      </c>
      <c r="BJ26" s="103">
        <f>J26*K26</f>
        <v>0</v>
      </c>
      <c r="BK26" s="103" t="s">
        <v>144</v>
      </c>
      <c r="BL26" s="103">
        <v>16</v>
      </c>
    </row>
    <row r="27" spans="1:64" ht="21.75" customHeight="1">
      <c r="A27" s="104" t="s">
        <v>178</v>
      </c>
      <c r="B27" s="52" t="s">
        <v>179</v>
      </c>
      <c r="C27" s="52" t="s">
        <v>180</v>
      </c>
      <c r="D27" s="52"/>
      <c r="E27" s="52"/>
      <c r="F27" s="52"/>
      <c r="G27" s="52"/>
      <c r="H27" s="52"/>
      <c r="I27" s="52" t="s">
        <v>139</v>
      </c>
      <c r="J27" s="103">
        <v>68.8</v>
      </c>
      <c r="K27" s="136">
        <v>0</v>
      </c>
      <c r="L27" s="103">
        <f>J27*K27</f>
        <v>0</v>
      </c>
      <c r="M27" s="137" t="s">
        <v>140</v>
      </c>
      <c r="N27" s="86"/>
      <c r="Z27" s="103">
        <f>IF(AQ27="5",BJ27,0)</f>
        <v>0</v>
      </c>
      <c r="AB27" s="103">
        <f>IF(AQ27="1",BH27,0)</f>
        <v>0</v>
      </c>
      <c r="AC27" s="103">
        <f>IF(AQ27="1",BI27,0)</f>
        <v>0</v>
      </c>
      <c r="AD27" s="103">
        <f>IF(AQ27="7",BH27,0)</f>
        <v>0</v>
      </c>
      <c r="AE27" s="103">
        <f>IF(AQ27="7",BI27,0)</f>
        <v>0</v>
      </c>
      <c r="AF27" s="103">
        <f>IF(AQ27="2",BH27,0)</f>
        <v>0</v>
      </c>
      <c r="AG27" s="103">
        <f>IF(AQ27="2",BI27,0)</f>
        <v>0</v>
      </c>
      <c r="AH27" s="103">
        <f>IF(AQ27="0",BJ27,0)</f>
        <v>0</v>
      </c>
      <c r="AI27" s="120"/>
      <c r="AJ27" s="103">
        <f>IF(AN27=0,L27,0)</f>
        <v>0</v>
      </c>
      <c r="AK27" s="103">
        <f>IF(AN27=15,L27,0)</f>
        <v>0</v>
      </c>
      <c r="AL27" s="103">
        <f>IF(AN27=21,L27,0)</f>
        <v>0</v>
      </c>
      <c r="AN27" s="103">
        <v>21</v>
      </c>
      <c r="AO27" s="103">
        <f>K27*0</f>
        <v>0</v>
      </c>
      <c r="AP27" s="103">
        <f>K27*(1-0)</f>
        <v>0</v>
      </c>
      <c r="AQ27" s="138" t="s">
        <v>83</v>
      </c>
      <c r="AV27" s="103">
        <f>AW27+AX27</f>
        <v>0</v>
      </c>
      <c r="AW27" s="103">
        <f>J27*AO27</f>
        <v>0</v>
      </c>
      <c r="AX27" s="103">
        <f>J27*AP27</f>
        <v>0</v>
      </c>
      <c r="AY27" s="138" t="s">
        <v>173</v>
      </c>
      <c r="AZ27" s="138" t="s">
        <v>142</v>
      </c>
      <c r="BA27" s="120" t="s">
        <v>143</v>
      </c>
      <c r="BC27" s="103">
        <f>AW27+AX27</f>
        <v>0</v>
      </c>
      <c r="BD27" s="103">
        <f>K27/(100-BE27)*100</f>
        <v>0</v>
      </c>
      <c r="BE27" s="103">
        <v>0</v>
      </c>
      <c r="BF27" s="103">
        <f>27</f>
        <v>27</v>
      </c>
      <c r="BH27" s="103">
        <f>J27*AO27</f>
        <v>0</v>
      </c>
      <c r="BI27" s="103">
        <f>J27*AP27</f>
        <v>0</v>
      </c>
      <c r="BJ27" s="103">
        <f>J27*K27</f>
        <v>0</v>
      </c>
      <c r="BK27" s="103" t="s">
        <v>144</v>
      </c>
      <c r="BL27" s="103">
        <v>16</v>
      </c>
    </row>
    <row r="28" spans="1:64" ht="21.75" customHeight="1">
      <c r="A28" s="104" t="s">
        <v>135</v>
      </c>
      <c r="B28" s="52" t="s">
        <v>181</v>
      </c>
      <c r="C28" s="52" t="s">
        <v>182</v>
      </c>
      <c r="D28" s="52"/>
      <c r="E28" s="52"/>
      <c r="F28" s="52"/>
      <c r="G28" s="52"/>
      <c r="H28" s="52"/>
      <c r="I28" s="52" t="s">
        <v>183</v>
      </c>
      <c r="J28" s="103">
        <v>6.88</v>
      </c>
      <c r="K28" s="136">
        <v>0</v>
      </c>
      <c r="L28" s="103">
        <f>J28*K28</f>
        <v>0</v>
      </c>
      <c r="M28" s="137" t="s">
        <v>140</v>
      </c>
      <c r="N28" s="86"/>
      <c r="Z28" s="103">
        <f>IF(AQ28="5",BJ28,0)</f>
        <v>0</v>
      </c>
      <c r="AB28" s="103">
        <f>IF(AQ28="1",BH28,0)</f>
        <v>0</v>
      </c>
      <c r="AC28" s="103">
        <f>IF(AQ28="1",BI28,0)</f>
        <v>0</v>
      </c>
      <c r="AD28" s="103">
        <f>IF(AQ28="7",BH28,0)</f>
        <v>0</v>
      </c>
      <c r="AE28" s="103">
        <f>IF(AQ28="7",BI28,0)</f>
        <v>0</v>
      </c>
      <c r="AF28" s="103">
        <f>IF(AQ28="2",BH28,0)</f>
        <v>0</v>
      </c>
      <c r="AG28" s="103">
        <f>IF(AQ28="2",BI28,0)</f>
        <v>0</v>
      </c>
      <c r="AH28" s="103">
        <f>IF(AQ28="0",BJ28,0)</f>
        <v>0</v>
      </c>
      <c r="AI28" s="120"/>
      <c r="AJ28" s="103">
        <f>IF(AN28=0,L28,0)</f>
        <v>0</v>
      </c>
      <c r="AK28" s="103">
        <f>IF(AN28=15,L28,0)</f>
        <v>0</v>
      </c>
      <c r="AL28" s="103">
        <f>IF(AN28=21,L28,0)</f>
        <v>0</v>
      </c>
      <c r="AN28" s="103">
        <v>21</v>
      </c>
      <c r="AO28" s="103">
        <f>K28*0</f>
        <v>0</v>
      </c>
      <c r="AP28" s="103">
        <f>K28*(1-0)</f>
        <v>0</v>
      </c>
      <c r="AQ28" s="138" t="s">
        <v>83</v>
      </c>
      <c r="AV28" s="103">
        <f>AW28+AX28</f>
        <v>0</v>
      </c>
      <c r="AW28" s="103">
        <f>J28*AO28</f>
        <v>0</v>
      </c>
      <c r="AX28" s="103">
        <f>J28*AP28</f>
        <v>0</v>
      </c>
      <c r="AY28" s="138" t="s">
        <v>173</v>
      </c>
      <c r="AZ28" s="138" t="s">
        <v>142</v>
      </c>
      <c r="BA28" s="120" t="s">
        <v>143</v>
      </c>
      <c r="BC28" s="103">
        <f>AW28+AX28</f>
        <v>0</v>
      </c>
      <c r="BD28" s="103">
        <f>K28/(100-BE28)*100</f>
        <v>0</v>
      </c>
      <c r="BE28" s="103">
        <v>0</v>
      </c>
      <c r="BF28" s="103">
        <f>28</f>
        <v>28</v>
      </c>
      <c r="BH28" s="103">
        <f>J28*AO28</f>
        <v>0</v>
      </c>
      <c r="BI28" s="103">
        <f>J28*AP28</f>
        <v>0</v>
      </c>
      <c r="BJ28" s="103">
        <f>J28*K28</f>
        <v>0</v>
      </c>
      <c r="BK28" s="103" t="s">
        <v>144</v>
      </c>
      <c r="BL28" s="103">
        <v>16</v>
      </c>
    </row>
    <row r="29" spans="1:47" ht="21.75" customHeight="1">
      <c r="A29" s="131"/>
      <c r="B29" s="132" t="s">
        <v>184</v>
      </c>
      <c r="C29" s="132" t="s">
        <v>185</v>
      </c>
      <c r="D29" s="132"/>
      <c r="E29" s="132"/>
      <c r="F29" s="132"/>
      <c r="G29" s="132"/>
      <c r="H29" s="132"/>
      <c r="I29" s="133" t="s">
        <v>76</v>
      </c>
      <c r="J29" s="133" t="s">
        <v>76</v>
      </c>
      <c r="K29" s="133" t="s">
        <v>76</v>
      </c>
      <c r="L29" s="134">
        <f>SUM(L30:L32)</f>
        <v>0</v>
      </c>
      <c r="M29" s="135"/>
      <c r="N29" s="86"/>
      <c r="AI29" s="120"/>
      <c r="AS29" s="134">
        <f>SUM(AJ30:AJ32)</f>
        <v>0</v>
      </c>
      <c r="AT29" s="134">
        <f>SUM(AK30:AK32)</f>
        <v>0</v>
      </c>
      <c r="AU29" s="134">
        <f>SUM(AL30:AL32)</f>
        <v>0</v>
      </c>
    </row>
    <row r="30" spans="1:64" ht="21.75" customHeight="1">
      <c r="A30" s="104" t="s">
        <v>147</v>
      </c>
      <c r="B30" s="52" t="s">
        <v>186</v>
      </c>
      <c r="C30" s="52" t="s">
        <v>187</v>
      </c>
      <c r="D30" s="52"/>
      <c r="E30" s="52"/>
      <c r="F30" s="52"/>
      <c r="G30" s="52"/>
      <c r="H30" s="52"/>
      <c r="I30" s="52" t="s">
        <v>139</v>
      </c>
      <c r="J30" s="103">
        <v>8.88</v>
      </c>
      <c r="K30" s="136">
        <v>0</v>
      </c>
      <c r="L30" s="103">
        <f>J30*K30</f>
        <v>0</v>
      </c>
      <c r="M30" s="137" t="s">
        <v>140</v>
      </c>
      <c r="N30" s="86"/>
      <c r="Z30" s="103">
        <f>IF(AQ30="5",BJ30,0)</f>
        <v>0</v>
      </c>
      <c r="AB30" s="103">
        <f>IF(AQ30="1",BH30,0)</f>
        <v>0</v>
      </c>
      <c r="AC30" s="103">
        <f>IF(AQ30="1",BI30,0)</f>
        <v>0</v>
      </c>
      <c r="AD30" s="103">
        <f>IF(AQ30="7",BH30,0)</f>
        <v>0</v>
      </c>
      <c r="AE30" s="103">
        <f>IF(AQ30="7",BI30,0)</f>
        <v>0</v>
      </c>
      <c r="AF30" s="103">
        <f>IF(AQ30="2",BH30,0)</f>
        <v>0</v>
      </c>
      <c r="AG30" s="103">
        <f>IF(AQ30="2",BI30,0)</f>
        <v>0</v>
      </c>
      <c r="AH30" s="103">
        <f>IF(AQ30="0",BJ30,0)</f>
        <v>0</v>
      </c>
      <c r="AI30" s="120"/>
      <c r="AJ30" s="103">
        <f>IF(AN30=0,L30,0)</f>
        <v>0</v>
      </c>
      <c r="AK30" s="103">
        <f>IF(AN30=15,L30,0)</f>
        <v>0</v>
      </c>
      <c r="AL30" s="103">
        <f>IF(AN30=21,L30,0)</f>
        <v>0</v>
      </c>
      <c r="AN30" s="103">
        <v>21</v>
      </c>
      <c r="AO30" s="103">
        <f>K30*0.389524647887324</f>
        <v>0</v>
      </c>
      <c r="AP30" s="103">
        <f>K30*(1-0.389524647887324)</f>
        <v>0</v>
      </c>
      <c r="AQ30" s="138" t="s">
        <v>83</v>
      </c>
      <c r="AV30" s="103">
        <f>AW30+AX30</f>
        <v>0</v>
      </c>
      <c r="AW30" s="103">
        <f>J30*AO30</f>
        <v>0</v>
      </c>
      <c r="AX30" s="103">
        <f>J30*AP30</f>
        <v>0</v>
      </c>
      <c r="AY30" s="138" t="s">
        <v>188</v>
      </c>
      <c r="AZ30" s="138" t="s">
        <v>142</v>
      </c>
      <c r="BA30" s="120" t="s">
        <v>143</v>
      </c>
      <c r="BB30" s="120" t="s">
        <v>189</v>
      </c>
      <c r="BC30" s="103">
        <f>AW30+AX30</f>
        <v>0</v>
      </c>
      <c r="BD30" s="103">
        <f>K30/(100-BE30)*100</f>
        <v>0</v>
      </c>
      <c r="BE30" s="103">
        <v>0</v>
      </c>
      <c r="BF30" s="103">
        <f>30</f>
        <v>30</v>
      </c>
      <c r="BH30" s="103">
        <f>J30*AO30</f>
        <v>0</v>
      </c>
      <c r="BI30" s="103">
        <f>J30*AP30</f>
        <v>0</v>
      </c>
      <c r="BJ30" s="103">
        <f>J30*K30</f>
        <v>0</v>
      </c>
      <c r="BK30" s="103" t="s">
        <v>144</v>
      </c>
      <c r="BL30" s="103">
        <v>17</v>
      </c>
    </row>
    <row r="31" spans="1:64" ht="21.75" customHeight="1">
      <c r="A31" s="104" t="s">
        <v>190</v>
      </c>
      <c r="B31" s="52" t="s">
        <v>191</v>
      </c>
      <c r="C31" s="52" t="s">
        <v>192</v>
      </c>
      <c r="D31" s="52"/>
      <c r="E31" s="52"/>
      <c r="F31" s="52"/>
      <c r="G31" s="52"/>
      <c r="H31" s="52"/>
      <c r="I31" s="52" t="s">
        <v>139</v>
      </c>
      <c r="J31" s="103">
        <v>12.88</v>
      </c>
      <c r="K31" s="136">
        <v>0</v>
      </c>
      <c r="L31" s="103">
        <f>J31*K31</f>
        <v>0</v>
      </c>
      <c r="M31" s="137" t="s">
        <v>140</v>
      </c>
      <c r="N31" s="86"/>
      <c r="Z31" s="103">
        <f>IF(AQ31="5",BJ31,0)</f>
        <v>0</v>
      </c>
      <c r="AB31" s="103">
        <f>IF(AQ31="1",BH31,0)</f>
        <v>0</v>
      </c>
      <c r="AC31" s="103">
        <f>IF(AQ31="1",BI31,0)</f>
        <v>0</v>
      </c>
      <c r="AD31" s="103">
        <f>IF(AQ31="7",BH31,0)</f>
        <v>0</v>
      </c>
      <c r="AE31" s="103">
        <f>IF(AQ31="7",BI31,0)</f>
        <v>0</v>
      </c>
      <c r="AF31" s="103">
        <f>IF(AQ31="2",BH31,0)</f>
        <v>0</v>
      </c>
      <c r="AG31" s="103">
        <f>IF(AQ31="2",BI31,0)</f>
        <v>0</v>
      </c>
      <c r="AH31" s="103">
        <f>IF(AQ31="0",BJ31,0)</f>
        <v>0</v>
      </c>
      <c r="AI31" s="120"/>
      <c r="AJ31" s="103">
        <f>IF(AN31=0,L31,0)</f>
        <v>0</v>
      </c>
      <c r="AK31" s="103">
        <f>IF(AN31=15,L31,0)</f>
        <v>0</v>
      </c>
      <c r="AL31" s="103">
        <f>IF(AN31=21,L31,0)</f>
        <v>0</v>
      </c>
      <c r="AN31" s="103">
        <v>21</v>
      </c>
      <c r="AO31" s="103">
        <f>K31*0</f>
        <v>0</v>
      </c>
      <c r="AP31" s="103">
        <f>K31*(1-0)</f>
        <v>0</v>
      </c>
      <c r="AQ31" s="138" t="s">
        <v>83</v>
      </c>
      <c r="AV31" s="103">
        <f>AW31+AX31</f>
        <v>0</v>
      </c>
      <c r="AW31" s="103">
        <f>J31*AO31</f>
        <v>0</v>
      </c>
      <c r="AX31" s="103">
        <f>J31*AP31</f>
        <v>0</v>
      </c>
      <c r="AY31" s="138" t="s">
        <v>188</v>
      </c>
      <c r="AZ31" s="138" t="s">
        <v>142</v>
      </c>
      <c r="BA31" s="120" t="s">
        <v>143</v>
      </c>
      <c r="BC31" s="103">
        <f>AW31+AX31</f>
        <v>0</v>
      </c>
      <c r="BD31" s="103">
        <f>K31/(100-BE31)*100</f>
        <v>0</v>
      </c>
      <c r="BE31" s="103">
        <v>0</v>
      </c>
      <c r="BF31" s="103">
        <f>31</f>
        <v>31</v>
      </c>
      <c r="BH31" s="103">
        <f>J31*AO31</f>
        <v>0</v>
      </c>
      <c r="BI31" s="103">
        <f>J31*AP31</f>
        <v>0</v>
      </c>
      <c r="BJ31" s="103">
        <f>J31*K31</f>
        <v>0</v>
      </c>
      <c r="BK31" s="103" t="s">
        <v>144</v>
      </c>
      <c r="BL31" s="103">
        <v>17</v>
      </c>
    </row>
    <row r="32" spans="1:64" ht="21.75" customHeight="1">
      <c r="A32" s="104" t="s">
        <v>160</v>
      </c>
      <c r="B32" s="52" t="s">
        <v>193</v>
      </c>
      <c r="C32" s="52" t="s">
        <v>194</v>
      </c>
      <c r="D32" s="52"/>
      <c r="E32" s="52"/>
      <c r="F32" s="52"/>
      <c r="G32" s="52"/>
      <c r="H32" s="52"/>
      <c r="I32" s="52" t="s">
        <v>139</v>
      </c>
      <c r="J32" s="103">
        <v>8.32</v>
      </c>
      <c r="K32" s="136">
        <v>0</v>
      </c>
      <c r="L32" s="103">
        <f>J32*K32</f>
        <v>0</v>
      </c>
      <c r="M32" s="137" t="s">
        <v>140</v>
      </c>
      <c r="N32" s="86"/>
      <c r="Z32" s="103">
        <f>IF(AQ32="5",BJ32,0)</f>
        <v>0</v>
      </c>
      <c r="AB32" s="103">
        <f>IF(AQ32="1",BH32,0)</f>
        <v>0</v>
      </c>
      <c r="AC32" s="103">
        <f>IF(AQ32="1",BI32,0)</f>
        <v>0</v>
      </c>
      <c r="AD32" s="103">
        <f>IF(AQ32="7",BH32,0)</f>
        <v>0</v>
      </c>
      <c r="AE32" s="103">
        <f>IF(AQ32="7",BI32,0)</f>
        <v>0</v>
      </c>
      <c r="AF32" s="103">
        <f>IF(AQ32="2",BH32,0)</f>
        <v>0</v>
      </c>
      <c r="AG32" s="103">
        <f>IF(AQ32="2",BI32,0)</f>
        <v>0</v>
      </c>
      <c r="AH32" s="103">
        <f>IF(AQ32="0",BJ32,0)</f>
        <v>0</v>
      </c>
      <c r="AI32" s="120"/>
      <c r="AJ32" s="103">
        <f>IF(AN32=0,L32,0)</f>
        <v>0</v>
      </c>
      <c r="AK32" s="103">
        <f>IF(AN32=15,L32,0)</f>
        <v>0</v>
      </c>
      <c r="AL32" s="103">
        <f>IF(AN32=21,L32,0)</f>
        <v>0</v>
      </c>
      <c r="AN32" s="103">
        <v>21</v>
      </c>
      <c r="AO32" s="103">
        <f>K32*0</f>
        <v>0</v>
      </c>
      <c r="AP32" s="103">
        <f>K32*(1-0)</f>
        <v>0</v>
      </c>
      <c r="AQ32" s="138" t="s">
        <v>83</v>
      </c>
      <c r="AV32" s="103">
        <f>AW32+AX32</f>
        <v>0</v>
      </c>
      <c r="AW32" s="103">
        <f>J32*AO32</f>
        <v>0</v>
      </c>
      <c r="AX32" s="103">
        <f>J32*AP32</f>
        <v>0</v>
      </c>
      <c r="AY32" s="138" t="s">
        <v>188</v>
      </c>
      <c r="AZ32" s="138" t="s">
        <v>142</v>
      </c>
      <c r="BA32" s="120" t="s">
        <v>143</v>
      </c>
      <c r="BC32" s="103">
        <f>AW32+AX32</f>
        <v>0</v>
      </c>
      <c r="BD32" s="103">
        <f>K32/(100-BE32)*100</f>
        <v>0</v>
      </c>
      <c r="BE32" s="103">
        <v>0</v>
      </c>
      <c r="BF32" s="103">
        <f>32</f>
        <v>32</v>
      </c>
      <c r="BH32" s="103">
        <f>J32*AO32</f>
        <v>0</v>
      </c>
      <c r="BI32" s="103">
        <f>J32*AP32</f>
        <v>0</v>
      </c>
      <c r="BJ32" s="103">
        <f>J32*K32</f>
        <v>0</v>
      </c>
      <c r="BK32" s="103" t="s">
        <v>144</v>
      </c>
      <c r="BL32" s="103">
        <v>17</v>
      </c>
    </row>
    <row r="33" spans="1:47" ht="21.75" customHeight="1">
      <c r="A33" s="131"/>
      <c r="B33" s="132" t="s">
        <v>195</v>
      </c>
      <c r="C33" s="132" t="s">
        <v>196</v>
      </c>
      <c r="D33" s="132"/>
      <c r="E33" s="132"/>
      <c r="F33" s="132"/>
      <c r="G33" s="132"/>
      <c r="H33" s="132"/>
      <c r="I33" s="133" t="s">
        <v>76</v>
      </c>
      <c r="J33" s="133" t="s">
        <v>76</v>
      </c>
      <c r="K33" s="133" t="s">
        <v>76</v>
      </c>
      <c r="L33" s="134">
        <f>SUM(L34:L34)</f>
        <v>0</v>
      </c>
      <c r="M33" s="135"/>
      <c r="N33" s="86"/>
      <c r="AI33" s="120"/>
      <c r="AS33" s="134">
        <f>SUM(AJ34:AJ34)</f>
        <v>0</v>
      </c>
      <c r="AT33" s="134">
        <f>SUM(AK34:AK34)</f>
        <v>0</v>
      </c>
      <c r="AU33" s="134">
        <f>SUM(AL34:AL34)</f>
        <v>0</v>
      </c>
    </row>
    <row r="34" spans="1:64" ht="21.75" customHeight="1">
      <c r="A34" s="104" t="s">
        <v>169</v>
      </c>
      <c r="B34" s="52" t="s">
        <v>197</v>
      </c>
      <c r="C34" s="52" t="s">
        <v>198</v>
      </c>
      <c r="D34" s="52"/>
      <c r="E34" s="52"/>
      <c r="F34" s="52"/>
      <c r="G34" s="52"/>
      <c r="H34" s="52"/>
      <c r="I34" s="52" t="s">
        <v>165</v>
      </c>
      <c r="J34" s="103">
        <v>10</v>
      </c>
      <c r="K34" s="136">
        <v>0</v>
      </c>
      <c r="L34" s="103">
        <f>J34*K34</f>
        <v>0</v>
      </c>
      <c r="M34" s="137" t="s">
        <v>140</v>
      </c>
      <c r="N34" s="86"/>
      <c r="Z34" s="103">
        <f>IF(AQ34="5",BJ34,0)</f>
        <v>0</v>
      </c>
      <c r="AB34" s="103">
        <f>IF(AQ34="1",BH34,0)</f>
        <v>0</v>
      </c>
      <c r="AC34" s="103">
        <f>IF(AQ34="1",BI34,0)</f>
        <v>0</v>
      </c>
      <c r="AD34" s="103">
        <f>IF(AQ34="7",BH34,0)</f>
        <v>0</v>
      </c>
      <c r="AE34" s="103">
        <f>IF(AQ34="7",BI34,0)</f>
        <v>0</v>
      </c>
      <c r="AF34" s="103">
        <f>IF(AQ34="2",BH34,0)</f>
        <v>0</v>
      </c>
      <c r="AG34" s="103">
        <f>IF(AQ34="2",BI34,0)</f>
        <v>0</v>
      </c>
      <c r="AH34" s="103">
        <f>IF(AQ34="0",BJ34,0)</f>
        <v>0</v>
      </c>
      <c r="AI34" s="120"/>
      <c r="AJ34" s="103">
        <f>IF(AN34=0,L34,0)</f>
        <v>0</v>
      </c>
      <c r="AK34" s="103">
        <f>IF(AN34=15,L34,0)</f>
        <v>0</v>
      </c>
      <c r="AL34" s="103">
        <f>IF(AN34=21,L34,0)</f>
        <v>0</v>
      </c>
      <c r="AN34" s="103">
        <v>21</v>
      </c>
      <c r="AO34" s="103">
        <f>K34*0.0952441424852371</f>
        <v>0</v>
      </c>
      <c r="AP34" s="103">
        <f>K34*(1-0.0952441424852371)</f>
        <v>0</v>
      </c>
      <c r="AQ34" s="138" t="s">
        <v>83</v>
      </c>
      <c r="AV34" s="103">
        <f>AW34+AX34</f>
        <v>0</v>
      </c>
      <c r="AW34" s="103">
        <f>J34*AO34</f>
        <v>0</v>
      </c>
      <c r="AX34" s="103">
        <f>J34*AP34</f>
        <v>0</v>
      </c>
      <c r="AY34" s="138" t="s">
        <v>199</v>
      </c>
      <c r="AZ34" s="138" t="s">
        <v>142</v>
      </c>
      <c r="BA34" s="120" t="s">
        <v>143</v>
      </c>
      <c r="BC34" s="103">
        <f>AW34+AX34</f>
        <v>0</v>
      </c>
      <c r="BD34" s="103">
        <f>K34/(100-BE34)*100</f>
        <v>0</v>
      </c>
      <c r="BE34" s="103">
        <v>0</v>
      </c>
      <c r="BF34" s="103">
        <f>34</f>
        <v>34</v>
      </c>
      <c r="BH34" s="103">
        <f>J34*AO34</f>
        <v>0</v>
      </c>
      <c r="BI34" s="103">
        <f>J34*AP34</f>
        <v>0</v>
      </c>
      <c r="BJ34" s="103">
        <f>J34*K34</f>
        <v>0</v>
      </c>
      <c r="BK34" s="103" t="s">
        <v>144</v>
      </c>
      <c r="BL34" s="103">
        <v>18</v>
      </c>
    </row>
    <row r="35" spans="1:47" ht="21.75" customHeight="1">
      <c r="A35" s="131"/>
      <c r="B35" s="132" t="s">
        <v>200</v>
      </c>
      <c r="C35" s="132" t="s">
        <v>201</v>
      </c>
      <c r="D35" s="132"/>
      <c r="E35" s="132"/>
      <c r="F35" s="132"/>
      <c r="G35" s="132"/>
      <c r="H35" s="132"/>
      <c r="I35" s="133" t="s">
        <v>76</v>
      </c>
      <c r="J35" s="133" t="s">
        <v>76</v>
      </c>
      <c r="K35" s="133" t="s">
        <v>76</v>
      </c>
      <c r="L35" s="134">
        <f>SUM(L36:L36)</f>
        <v>0</v>
      </c>
      <c r="M35" s="135"/>
      <c r="N35" s="86"/>
      <c r="AI35" s="120"/>
      <c r="AS35" s="134">
        <f>SUM(AJ36:AJ36)</f>
        <v>0</v>
      </c>
      <c r="AT35" s="134">
        <f>SUM(AK36:AK36)</f>
        <v>0</v>
      </c>
      <c r="AU35" s="134">
        <f>SUM(AL36:AL36)</f>
        <v>0</v>
      </c>
    </row>
    <row r="36" spans="1:64" ht="21.75" customHeight="1">
      <c r="A36" s="104" t="s">
        <v>184</v>
      </c>
      <c r="B36" s="52" t="s">
        <v>202</v>
      </c>
      <c r="C36" s="52" t="s">
        <v>203</v>
      </c>
      <c r="D36" s="52"/>
      <c r="E36" s="52"/>
      <c r="F36" s="52"/>
      <c r="G36" s="52"/>
      <c r="H36" s="52"/>
      <c r="I36" s="52" t="s">
        <v>139</v>
      </c>
      <c r="J36" s="103">
        <v>1.2</v>
      </c>
      <c r="K36" s="136">
        <v>0</v>
      </c>
      <c r="L36" s="103">
        <f>J36*K36</f>
        <v>0</v>
      </c>
      <c r="M36" s="137" t="s">
        <v>140</v>
      </c>
      <c r="N36" s="86"/>
      <c r="Z36" s="103">
        <f>IF(AQ36="5",BJ36,0)</f>
        <v>0</v>
      </c>
      <c r="AB36" s="103">
        <f>IF(AQ36="1",BH36,0)</f>
        <v>0</v>
      </c>
      <c r="AC36" s="103">
        <f>IF(AQ36="1",BI36,0)</f>
        <v>0</v>
      </c>
      <c r="AD36" s="103">
        <f>IF(AQ36="7",BH36,0)</f>
        <v>0</v>
      </c>
      <c r="AE36" s="103">
        <f>IF(AQ36="7",BI36,0)</f>
        <v>0</v>
      </c>
      <c r="AF36" s="103">
        <f>IF(AQ36="2",BH36,0)</f>
        <v>0</v>
      </c>
      <c r="AG36" s="103">
        <f>IF(AQ36="2",BI36,0)</f>
        <v>0</v>
      </c>
      <c r="AH36" s="103">
        <f>IF(AQ36="0",BJ36,0)</f>
        <v>0</v>
      </c>
      <c r="AI36" s="120"/>
      <c r="AJ36" s="103">
        <f>IF(AN36=0,L36,0)</f>
        <v>0</v>
      </c>
      <c r="AK36" s="103">
        <f>IF(AN36=15,L36,0)</f>
        <v>0</v>
      </c>
      <c r="AL36" s="103">
        <f>IF(AN36=21,L36,0)</f>
        <v>0</v>
      </c>
      <c r="AN36" s="103">
        <v>21</v>
      </c>
      <c r="AO36" s="103">
        <f>K36*0.734145289217801</f>
        <v>0</v>
      </c>
      <c r="AP36" s="103">
        <f>K36*(1-0.734145289217801)</f>
        <v>0</v>
      </c>
      <c r="AQ36" s="138" t="s">
        <v>83</v>
      </c>
      <c r="AV36" s="103">
        <f>AW36+AX36</f>
        <v>0</v>
      </c>
      <c r="AW36" s="103">
        <f>J36*AO36</f>
        <v>0</v>
      </c>
      <c r="AX36" s="103">
        <f>J36*AP36</f>
        <v>0</v>
      </c>
      <c r="AY36" s="138" t="s">
        <v>204</v>
      </c>
      <c r="AZ36" s="138" t="s">
        <v>205</v>
      </c>
      <c r="BA36" s="120" t="s">
        <v>143</v>
      </c>
      <c r="BC36" s="103">
        <f>AW36+AX36</f>
        <v>0</v>
      </c>
      <c r="BD36" s="103">
        <f>K36/(100-BE36)*100</f>
        <v>0</v>
      </c>
      <c r="BE36" s="103">
        <v>0</v>
      </c>
      <c r="BF36" s="103">
        <f>36</f>
        <v>36</v>
      </c>
      <c r="BH36" s="103">
        <f>J36*AO36</f>
        <v>0</v>
      </c>
      <c r="BI36" s="103">
        <f>J36*AP36</f>
        <v>0</v>
      </c>
      <c r="BJ36" s="103">
        <f>J36*K36</f>
        <v>0</v>
      </c>
      <c r="BK36" s="103" t="s">
        <v>144</v>
      </c>
      <c r="BL36" s="103">
        <v>27</v>
      </c>
    </row>
    <row r="37" spans="1:47" ht="21.75" customHeight="1">
      <c r="A37" s="131"/>
      <c r="B37" s="132" t="s">
        <v>206</v>
      </c>
      <c r="C37" s="132" t="s">
        <v>207</v>
      </c>
      <c r="D37" s="132"/>
      <c r="E37" s="132"/>
      <c r="F37" s="132"/>
      <c r="G37" s="132"/>
      <c r="H37" s="132"/>
      <c r="I37" s="133" t="s">
        <v>76</v>
      </c>
      <c r="J37" s="133" t="s">
        <v>76</v>
      </c>
      <c r="K37" s="133" t="s">
        <v>76</v>
      </c>
      <c r="L37" s="134">
        <f>SUM(L38:L38)</f>
        <v>0</v>
      </c>
      <c r="M37" s="135"/>
      <c r="N37" s="86"/>
      <c r="AI37" s="120"/>
      <c r="AS37" s="134">
        <f>SUM(AJ38:AJ38)</f>
        <v>0</v>
      </c>
      <c r="AT37" s="134">
        <f>SUM(AK38:AK38)</f>
        <v>0</v>
      </c>
      <c r="AU37" s="134">
        <f>SUM(AL38:AL38)</f>
        <v>0</v>
      </c>
    </row>
    <row r="38" spans="1:64" ht="21.75" customHeight="1">
      <c r="A38" s="104" t="s">
        <v>195</v>
      </c>
      <c r="B38" s="52" t="s">
        <v>208</v>
      </c>
      <c r="C38" s="52" t="s">
        <v>209</v>
      </c>
      <c r="D38" s="52"/>
      <c r="E38" s="52"/>
      <c r="F38" s="52"/>
      <c r="G38" s="52"/>
      <c r="H38" s="52"/>
      <c r="I38" s="52" t="s">
        <v>210</v>
      </c>
      <c r="J38" s="103">
        <v>14</v>
      </c>
      <c r="K38" s="136">
        <v>0</v>
      </c>
      <c r="L38" s="103">
        <f>J38*K38</f>
        <v>0</v>
      </c>
      <c r="M38" s="137" t="s">
        <v>140</v>
      </c>
      <c r="N38" s="86"/>
      <c r="Z38" s="103">
        <f>IF(AQ38="5",BJ38,0)</f>
        <v>0</v>
      </c>
      <c r="AB38" s="103">
        <f>IF(AQ38="1",BH38,0)</f>
        <v>0</v>
      </c>
      <c r="AC38" s="103">
        <f>IF(AQ38="1",BI38,0)</f>
        <v>0</v>
      </c>
      <c r="AD38" s="103">
        <f>IF(AQ38="7",BH38,0)</f>
        <v>0</v>
      </c>
      <c r="AE38" s="103">
        <f>IF(AQ38="7",BI38,0)</f>
        <v>0</v>
      </c>
      <c r="AF38" s="103">
        <f>IF(AQ38="2",BH38,0)</f>
        <v>0</v>
      </c>
      <c r="AG38" s="103">
        <f>IF(AQ38="2",BI38,0)</f>
        <v>0</v>
      </c>
      <c r="AH38" s="103">
        <f>IF(AQ38="0",BJ38,0)</f>
        <v>0</v>
      </c>
      <c r="AI38" s="120"/>
      <c r="AJ38" s="103">
        <f>IF(AN38=0,L38,0)</f>
        <v>0</v>
      </c>
      <c r="AK38" s="103">
        <f>IF(AN38=15,L38,0)</f>
        <v>0</v>
      </c>
      <c r="AL38" s="103">
        <f>IF(AN38=21,L38,0)</f>
        <v>0</v>
      </c>
      <c r="AN38" s="103">
        <v>21</v>
      </c>
      <c r="AO38" s="103">
        <f>K38*0.429654761904762</f>
        <v>0</v>
      </c>
      <c r="AP38" s="103">
        <f>K38*(1-0.429654761904762)</f>
        <v>0</v>
      </c>
      <c r="AQ38" s="138" t="s">
        <v>83</v>
      </c>
      <c r="AV38" s="103">
        <f>AW38+AX38</f>
        <v>0</v>
      </c>
      <c r="AW38" s="103">
        <f>J38*AO38</f>
        <v>0</v>
      </c>
      <c r="AX38" s="103">
        <f>J38*AP38</f>
        <v>0</v>
      </c>
      <c r="AY38" s="138" t="s">
        <v>211</v>
      </c>
      <c r="AZ38" s="138" t="s">
        <v>212</v>
      </c>
      <c r="BA38" s="120" t="s">
        <v>143</v>
      </c>
      <c r="BC38" s="103">
        <f>AW38+AX38</f>
        <v>0</v>
      </c>
      <c r="BD38" s="103">
        <f>K38/(100-BE38)*100</f>
        <v>0</v>
      </c>
      <c r="BE38" s="103">
        <v>0</v>
      </c>
      <c r="BF38" s="103">
        <f>38</f>
        <v>38</v>
      </c>
      <c r="BH38" s="103">
        <f>J38*AO38</f>
        <v>0</v>
      </c>
      <c r="BI38" s="103">
        <f>J38*AP38</f>
        <v>0</v>
      </c>
      <c r="BJ38" s="103">
        <f>J38*K38</f>
        <v>0</v>
      </c>
      <c r="BK38" s="103" t="s">
        <v>144</v>
      </c>
      <c r="BL38" s="103">
        <v>34</v>
      </c>
    </row>
    <row r="39" spans="1:47" ht="21.75" customHeight="1">
      <c r="A39" s="131"/>
      <c r="B39" s="132" t="s">
        <v>213</v>
      </c>
      <c r="C39" s="132" t="s">
        <v>214</v>
      </c>
      <c r="D39" s="132"/>
      <c r="E39" s="132"/>
      <c r="F39" s="132"/>
      <c r="G39" s="132"/>
      <c r="H39" s="132"/>
      <c r="I39" s="133" t="s">
        <v>76</v>
      </c>
      <c r="J39" s="133" t="s">
        <v>76</v>
      </c>
      <c r="K39" s="133" t="s">
        <v>76</v>
      </c>
      <c r="L39" s="134">
        <f>SUM(L40:L40)</f>
        <v>0</v>
      </c>
      <c r="M39" s="135"/>
      <c r="N39" s="86"/>
      <c r="AI39" s="120"/>
      <c r="AS39" s="134">
        <f>SUM(AJ40:AJ40)</f>
        <v>0</v>
      </c>
      <c r="AT39" s="134">
        <f>SUM(AK40:AK40)</f>
        <v>0</v>
      </c>
      <c r="AU39" s="134">
        <f>SUM(AL40:AL40)</f>
        <v>0</v>
      </c>
    </row>
    <row r="40" spans="1:64" ht="21.75" customHeight="1">
      <c r="A40" s="104" t="s">
        <v>215</v>
      </c>
      <c r="B40" s="52" t="s">
        <v>216</v>
      </c>
      <c r="C40" s="52" t="s">
        <v>217</v>
      </c>
      <c r="D40" s="52"/>
      <c r="E40" s="52"/>
      <c r="F40" s="52"/>
      <c r="G40" s="52"/>
      <c r="H40" s="52"/>
      <c r="I40" s="52" t="s">
        <v>165</v>
      </c>
      <c r="J40" s="103">
        <v>29</v>
      </c>
      <c r="K40" s="136">
        <v>0</v>
      </c>
      <c r="L40" s="103">
        <f>J40*K40</f>
        <v>0</v>
      </c>
      <c r="M40" s="137" t="s">
        <v>140</v>
      </c>
      <c r="N40" s="86"/>
      <c r="Z40" s="103">
        <f>IF(AQ40="5",BJ40,0)</f>
        <v>0</v>
      </c>
      <c r="AB40" s="103">
        <f>IF(AQ40="1",BH40,0)</f>
        <v>0</v>
      </c>
      <c r="AC40" s="103">
        <f>IF(AQ40="1",BI40,0)</f>
        <v>0</v>
      </c>
      <c r="AD40" s="103">
        <f>IF(AQ40="7",BH40,0)</f>
        <v>0</v>
      </c>
      <c r="AE40" s="103">
        <f>IF(AQ40="7",BI40,0)</f>
        <v>0</v>
      </c>
      <c r="AF40" s="103">
        <f>IF(AQ40="2",BH40,0)</f>
        <v>0</v>
      </c>
      <c r="AG40" s="103">
        <f>IF(AQ40="2",BI40,0)</f>
        <v>0</v>
      </c>
      <c r="AH40" s="103">
        <f>IF(AQ40="0",BJ40,0)</f>
        <v>0</v>
      </c>
      <c r="AI40" s="120"/>
      <c r="AJ40" s="103">
        <f>IF(AN40=0,L40,0)</f>
        <v>0</v>
      </c>
      <c r="AK40" s="103">
        <f>IF(AN40=15,L40,0)</f>
        <v>0</v>
      </c>
      <c r="AL40" s="103">
        <f>IF(AN40=21,L40,0)</f>
        <v>0</v>
      </c>
      <c r="AN40" s="103">
        <v>21</v>
      </c>
      <c r="AO40" s="103">
        <f>K40*0.106221744368304</f>
        <v>0</v>
      </c>
      <c r="AP40" s="103">
        <f>K40*(1-0.106221744368304)</f>
        <v>0</v>
      </c>
      <c r="AQ40" s="138" t="s">
        <v>83</v>
      </c>
      <c r="AV40" s="103">
        <f>AW40+AX40</f>
        <v>0</v>
      </c>
      <c r="AW40" s="103">
        <f>J40*AO40</f>
        <v>0</v>
      </c>
      <c r="AX40" s="103">
        <f>J40*AP40</f>
        <v>0</v>
      </c>
      <c r="AY40" s="138" t="s">
        <v>218</v>
      </c>
      <c r="AZ40" s="138" t="s">
        <v>219</v>
      </c>
      <c r="BA40" s="120" t="s">
        <v>143</v>
      </c>
      <c r="BC40" s="103">
        <f>AW40+AX40</f>
        <v>0</v>
      </c>
      <c r="BD40" s="103">
        <f>K40/(100-BE40)*100</f>
        <v>0</v>
      </c>
      <c r="BE40" s="103">
        <v>0</v>
      </c>
      <c r="BF40" s="103">
        <f>40</f>
        <v>40</v>
      </c>
      <c r="BH40" s="103">
        <f>J40*AO40</f>
        <v>0</v>
      </c>
      <c r="BI40" s="103">
        <f>J40*AP40</f>
        <v>0</v>
      </c>
      <c r="BJ40" s="103">
        <f>J40*K40</f>
        <v>0</v>
      </c>
      <c r="BK40" s="103" t="s">
        <v>144</v>
      </c>
      <c r="BL40" s="103">
        <v>61</v>
      </c>
    </row>
    <row r="41" spans="1:47" ht="21.75" customHeight="1">
      <c r="A41" s="131"/>
      <c r="B41" s="132" t="s">
        <v>220</v>
      </c>
      <c r="C41" s="132" t="s">
        <v>221</v>
      </c>
      <c r="D41" s="132"/>
      <c r="E41" s="132"/>
      <c r="F41" s="132"/>
      <c r="G41" s="132"/>
      <c r="H41" s="132"/>
      <c r="I41" s="133" t="s">
        <v>76</v>
      </c>
      <c r="J41" s="133" t="s">
        <v>76</v>
      </c>
      <c r="K41" s="133" t="s">
        <v>76</v>
      </c>
      <c r="L41" s="134">
        <f>SUM(L42:L42)</f>
        <v>0</v>
      </c>
      <c r="M41" s="135"/>
      <c r="N41" s="86"/>
      <c r="AI41" s="120"/>
      <c r="AS41" s="134">
        <f>SUM(AJ42:AJ42)</f>
        <v>0</v>
      </c>
      <c r="AT41" s="134">
        <f>SUM(AK42:AK42)</f>
        <v>0</v>
      </c>
      <c r="AU41" s="134">
        <f>SUM(AL42:AL42)</f>
        <v>0</v>
      </c>
    </row>
    <row r="42" spans="1:64" ht="21.75" customHeight="1">
      <c r="A42" s="104" t="s">
        <v>222</v>
      </c>
      <c r="B42" s="52" t="s">
        <v>223</v>
      </c>
      <c r="C42" s="52" t="s">
        <v>224</v>
      </c>
      <c r="D42" s="52"/>
      <c r="E42" s="52"/>
      <c r="F42" s="52"/>
      <c r="G42" s="52"/>
      <c r="H42" s="52"/>
      <c r="I42" s="52" t="s">
        <v>139</v>
      </c>
      <c r="J42" s="103">
        <v>0.5</v>
      </c>
      <c r="K42" s="136">
        <v>0</v>
      </c>
      <c r="L42" s="103">
        <f>J42*K42</f>
        <v>0</v>
      </c>
      <c r="M42" s="137" t="s">
        <v>140</v>
      </c>
      <c r="N42" s="86"/>
      <c r="Z42" s="103">
        <f>IF(AQ42="5",BJ42,0)</f>
        <v>0</v>
      </c>
      <c r="AB42" s="103">
        <f>IF(AQ42="1",BH42,0)</f>
        <v>0</v>
      </c>
      <c r="AC42" s="103">
        <f>IF(AQ42="1",BI42,0)</f>
        <v>0</v>
      </c>
      <c r="AD42" s="103">
        <f>IF(AQ42="7",BH42,0)</f>
        <v>0</v>
      </c>
      <c r="AE42" s="103">
        <f>IF(AQ42="7",BI42,0)</f>
        <v>0</v>
      </c>
      <c r="AF42" s="103">
        <f>IF(AQ42="2",BH42,0)</f>
        <v>0</v>
      </c>
      <c r="AG42" s="103">
        <f>IF(AQ42="2",BI42,0)</f>
        <v>0</v>
      </c>
      <c r="AH42" s="103">
        <f>IF(AQ42="0",BJ42,0)</f>
        <v>0</v>
      </c>
      <c r="AI42" s="120"/>
      <c r="AJ42" s="103">
        <f>IF(AN42=0,L42,0)</f>
        <v>0</v>
      </c>
      <c r="AK42" s="103">
        <f>IF(AN42=15,L42,0)</f>
        <v>0</v>
      </c>
      <c r="AL42" s="103">
        <f>IF(AN42=21,L42,0)</f>
        <v>0</v>
      </c>
      <c r="AN42" s="103">
        <v>21</v>
      </c>
      <c r="AO42" s="103">
        <f>K42*0.752214716525935</f>
        <v>0</v>
      </c>
      <c r="AP42" s="103">
        <f>K42*(1-0.752214716525935)</f>
        <v>0</v>
      </c>
      <c r="AQ42" s="138" t="s">
        <v>83</v>
      </c>
      <c r="AV42" s="103">
        <f>AW42+AX42</f>
        <v>0</v>
      </c>
      <c r="AW42" s="103">
        <f>J42*AO42</f>
        <v>0</v>
      </c>
      <c r="AX42" s="103">
        <f>J42*AP42</f>
        <v>0</v>
      </c>
      <c r="AY42" s="138" t="s">
        <v>225</v>
      </c>
      <c r="AZ42" s="138" t="s">
        <v>219</v>
      </c>
      <c r="BA42" s="120" t="s">
        <v>143</v>
      </c>
      <c r="BC42" s="103">
        <f>AW42+AX42</f>
        <v>0</v>
      </c>
      <c r="BD42" s="103">
        <f>K42/(100-BE42)*100</f>
        <v>0</v>
      </c>
      <c r="BE42" s="103">
        <v>0</v>
      </c>
      <c r="BF42" s="103">
        <f>42</f>
        <v>42</v>
      </c>
      <c r="BH42" s="103">
        <f>J42*AO42</f>
        <v>0</v>
      </c>
      <c r="BI42" s="103">
        <f>J42*AP42</f>
        <v>0</v>
      </c>
      <c r="BJ42" s="103">
        <f>J42*K42</f>
        <v>0</v>
      </c>
      <c r="BK42" s="103" t="s">
        <v>144</v>
      </c>
      <c r="BL42" s="103">
        <v>63</v>
      </c>
    </row>
    <row r="43" spans="1:47" ht="21.75" customHeight="1">
      <c r="A43" s="131"/>
      <c r="B43" s="132" t="s">
        <v>226</v>
      </c>
      <c r="C43" s="132" t="s">
        <v>227</v>
      </c>
      <c r="D43" s="132"/>
      <c r="E43" s="132"/>
      <c r="F43" s="132"/>
      <c r="G43" s="132"/>
      <c r="H43" s="132"/>
      <c r="I43" s="133" t="s">
        <v>76</v>
      </c>
      <c r="J43" s="133" t="s">
        <v>76</v>
      </c>
      <c r="K43" s="133" t="s">
        <v>76</v>
      </c>
      <c r="L43" s="134">
        <f>SUM(L44:L44)</f>
        <v>0</v>
      </c>
      <c r="M43" s="135"/>
      <c r="N43" s="86"/>
      <c r="AI43" s="120"/>
      <c r="AS43" s="134">
        <f>SUM(AJ44:AJ44)</f>
        <v>0</v>
      </c>
      <c r="AT43" s="134">
        <f>SUM(AK44:AK44)</f>
        <v>0</v>
      </c>
      <c r="AU43" s="134">
        <f>SUM(AL44:AL44)</f>
        <v>0</v>
      </c>
    </row>
    <row r="44" spans="1:64" ht="21.75" customHeight="1">
      <c r="A44" s="104" t="s">
        <v>228</v>
      </c>
      <c r="B44" s="52" t="s">
        <v>229</v>
      </c>
      <c r="C44" s="52" t="s">
        <v>230</v>
      </c>
      <c r="D44" s="52"/>
      <c r="E44" s="52"/>
      <c r="F44" s="52"/>
      <c r="G44" s="52"/>
      <c r="H44" s="52"/>
      <c r="I44" s="52" t="s">
        <v>165</v>
      </c>
      <c r="J44" s="103">
        <v>4</v>
      </c>
      <c r="K44" s="136">
        <v>0</v>
      </c>
      <c r="L44" s="103">
        <f>J44*K44</f>
        <v>0</v>
      </c>
      <c r="M44" s="137" t="s">
        <v>140</v>
      </c>
      <c r="N44" s="86"/>
      <c r="Z44" s="103">
        <f>IF(AQ44="5",BJ44,0)</f>
        <v>0</v>
      </c>
      <c r="AB44" s="103">
        <f>IF(AQ44="1",BH44,0)</f>
        <v>0</v>
      </c>
      <c r="AC44" s="103">
        <f>IF(AQ44="1",BI44,0)</f>
        <v>0</v>
      </c>
      <c r="AD44" s="103">
        <f>IF(AQ44="7",BH44,0)</f>
        <v>0</v>
      </c>
      <c r="AE44" s="103">
        <f>IF(AQ44="7",BI44,0)</f>
        <v>0</v>
      </c>
      <c r="AF44" s="103">
        <f>IF(AQ44="2",BH44,0)</f>
        <v>0</v>
      </c>
      <c r="AG44" s="103">
        <f>IF(AQ44="2",BI44,0)</f>
        <v>0</v>
      </c>
      <c r="AH44" s="103">
        <f>IF(AQ44="0",BJ44,0)</f>
        <v>0</v>
      </c>
      <c r="AI44" s="120"/>
      <c r="AJ44" s="103">
        <f>IF(AN44=0,L44,0)</f>
        <v>0</v>
      </c>
      <c r="AK44" s="103">
        <f>IF(AN44=15,L44,0)</f>
        <v>0</v>
      </c>
      <c r="AL44" s="103">
        <f>IF(AN44=21,L44,0)</f>
        <v>0</v>
      </c>
      <c r="AN44" s="103">
        <v>21</v>
      </c>
      <c r="AO44" s="103">
        <f>K44*0.538424972270639</f>
        <v>0</v>
      </c>
      <c r="AP44" s="103">
        <f>K44*(1-0.538424972270639)</f>
        <v>0</v>
      </c>
      <c r="AQ44" s="138" t="s">
        <v>162</v>
      </c>
      <c r="AV44" s="103">
        <f>AW44+AX44</f>
        <v>0</v>
      </c>
      <c r="AW44" s="103">
        <f>J44*AO44</f>
        <v>0</v>
      </c>
      <c r="AX44" s="103">
        <f>J44*AP44</f>
        <v>0</v>
      </c>
      <c r="AY44" s="138" t="s">
        <v>231</v>
      </c>
      <c r="AZ44" s="138" t="s">
        <v>232</v>
      </c>
      <c r="BA44" s="120" t="s">
        <v>143</v>
      </c>
      <c r="BC44" s="103">
        <f>AW44+AX44</f>
        <v>0</v>
      </c>
      <c r="BD44" s="103">
        <f>K44/(100-BE44)*100</f>
        <v>0</v>
      </c>
      <c r="BE44" s="103">
        <v>0</v>
      </c>
      <c r="BF44" s="103">
        <f>44</f>
        <v>44</v>
      </c>
      <c r="BH44" s="103">
        <f>J44*AO44</f>
        <v>0</v>
      </c>
      <c r="BI44" s="103">
        <f>J44*AP44</f>
        <v>0</v>
      </c>
      <c r="BJ44" s="103">
        <f>J44*K44</f>
        <v>0</v>
      </c>
      <c r="BK44" s="103" t="s">
        <v>144</v>
      </c>
      <c r="BL44" s="103">
        <v>711</v>
      </c>
    </row>
    <row r="45" spans="1:47" ht="21.75" customHeight="1">
      <c r="A45" s="131"/>
      <c r="B45" s="132" t="s">
        <v>233</v>
      </c>
      <c r="C45" s="132" t="s">
        <v>234</v>
      </c>
      <c r="D45" s="132"/>
      <c r="E45" s="132"/>
      <c r="F45" s="132"/>
      <c r="G45" s="132"/>
      <c r="H45" s="132"/>
      <c r="I45" s="133" t="s">
        <v>76</v>
      </c>
      <c r="J45" s="133" t="s">
        <v>76</v>
      </c>
      <c r="K45" s="133" t="s">
        <v>76</v>
      </c>
      <c r="L45" s="134">
        <f>SUM(L46:L60)</f>
        <v>0</v>
      </c>
      <c r="M45" s="135"/>
      <c r="N45" s="86"/>
      <c r="AI45" s="120"/>
      <c r="AS45" s="134">
        <f>SUM(AJ46:AJ60)</f>
        <v>0</v>
      </c>
      <c r="AT45" s="134">
        <f>SUM(AK46:AK60)</f>
        <v>0</v>
      </c>
      <c r="AU45" s="134">
        <f>SUM(AL46:AL60)</f>
        <v>0</v>
      </c>
    </row>
    <row r="46" spans="1:64" ht="21.75" customHeight="1">
      <c r="A46" s="104" t="s">
        <v>235</v>
      </c>
      <c r="B46" s="52" t="s">
        <v>236</v>
      </c>
      <c r="C46" s="52" t="s">
        <v>237</v>
      </c>
      <c r="D46" s="52"/>
      <c r="E46" s="52"/>
      <c r="F46" s="52"/>
      <c r="G46" s="52"/>
      <c r="H46" s="52"/>
      <c r="I46" s="52" t="s">
        <v>238</v>
      </c>
      <c r="J46" s="103">
        <v>69</v>
      </c>
      <c r="K46" s="136">
        <v>0</v>
      </c>
      <c r="L46" s="103">
        <f aca="true" t="shared" si="0" ref="L46:L60">J46*K46</f>
        <v>0</v>
      </c>
      <c r="M46" s="137" t="s">
        <v>140</v>
      </c>
      <c r="N46" s="86"/>
      <c r="Z46" s="103">
        <f aca="true" t="shared" si="1" ref="Z46:Z60">IF(AQ46="5",BJ46,0)</f>
        <v>0</v>
      </c>
      <c r="AB46" s="103">
        <f aca="true" t="shared" si="2" ref="AB46:AB60">IF(AQ46="1",BH46,0)</f>
        <v>0</v>
      </c>
      <c r="AC46" s="103">
        <f aca="true" t="shared" si="3" ref="AC46:AC60">IF(AQ46="1",BI46,0)</f>
        <v>0</v>
      </c>
      <c r="AD46" s="103">
        <f aca="true" t="shared" si="4" ref="AD46:AD60">IF(AQ46="7",BH46,0)</f>
        <v>0</v>
      </c>
      <c r="AE46" s="103">
        <f aca="true" t="shared" si="5" ref="AE46:AE60">IF(AQ46="7",BI46,0)</f>
        <v>0</v>
      </c>
      <c r="AF46" s="103">
        <f aca="true" t="shared" si="6" ref="AF46:AF60">IF(AQ46="2",BH46,0)</f>
        <v>0</v>
      </c>
      <c r="AG46" s="103">
        <f aca="true" t="shared" si="7" ref="AG46:AG60">IF(AQ46="2",BI46,0)</f>
        <v>0</v>
      </c>
      <c r="AH46" s="103">
        <f aca="true" t="shared" si="8" ref="AH46:AH60">IF(AQ46="0",BJ46,0)</f>
        <v>0</v>
      </c>
      <c r="AI46" s="120"/>
      <c r="AJ46" s="103">
        <f aca="true" t="shared" si="9" ref="AJ46:AJ60">IF(AN46=0,L46,0)</f>
        <v>0</v>
      </c>
      <c r="AK46" s="103">
        <f aca="true" t="shared" si="10" ref="AK46:AK60">IF(AN46=15,L46,0)</f>
        <v>0</v>
      </c>
      <c r="AL46" s="103">
        <f aca="true" t="shared" si="11" ref="AL46:AL60">IF(AN46=21,L46,0)</f>
        <v>0</v>
      </c>
      <c r="AN46" s="103">
        <v>21</v>
      </c>
      <c r="AO46" s="103">
        <f>K46*0</f>
        <v>0</v>
      </c>
      <c r="AP46" s="103">
        <f>K46*(1-0)</f>
        <v>0</v>
      </c>
      <c r="AQ46" s="138" t="s">
        <v>162</v>
      </c>
      <c r="AV46" s="103">
        <f aca="true" t="shared" si="12" ref="AV46:AV60">AW46+AX46</f>
        <v>0</v>
      </c>
      <c r="AW46" s="103">
        <f aca="true" t="shared" si="13" ref="AW46:AW60">J46*AO46</f>
        <v>0</v>
      </c>
      <c r="AX46" s="103">
        <f aca="true" t="shared" si="14" ref="AX46:AX60">J46*AP46</f>
        <v>0</v>
      </c>
      <c r="AY46" s="138" t="s">
        <v>239</v>
      </c>
      <c r="AZ46" s="138" t="s">
        <v>240</v>
      </c>
      <c r="BA46" s="120" t="s">
        <v>143</v>
      </c>
      <c r="BC46" s="103">
        <f aca="true" t="shared" si="15" ref="BC46:BC60">AW46+AX46</f>
        <v>0</v>
      </c>
      <c r="BD46" s="103">
        <f aca="true" t="shared" si="16" ref="BD46:BD60">K46/(100-BE46)*100</f>
        <v>0</v>
      </c>
      <c r="BE46" s="103">
        <v>0</v>
      </c>
      <c r="BF46" s="103">
        <f>46</f>
        <v>46</v>
      </c>
      <c r="BH46" s="103">
        <f aca="true" t="shared" si="17" ref="BH46:BH60">J46*AO46</f>
        <v>0</v>
      </c>
      <c r="BI46" s="103">
        <f aca="true" t="shared" si="18" ref="BI46:BI60">J46*AP46</f>
        <v>0</v>
      </c>
      <c r="BJ46" s="103">
        <f aca="true" t="shared" si="19" ref="BJ46:BJ60">J46*K46</f>
        <v>0</v>
      </c>
      <c r="BK46" s="103" t="s">
        <v>144</v>
      </c>
      <c r="BL46" s="103">
        <v>721</v>
      </c>
    </row>
    <row r="47" spans="1:64" ht="21.75" customHeight="1">
      <c r="A47" s="104" t="s">
        <v>241</v>
      </c>
      <c r="B47" s="52" t="s">
        <v>242</v>
      </c>
      <c r="C47" s="52" t="s">
        <v>243</v>
      </c>
      <c r="D47" s="52"/>
      <c r="E47" s="52"/>
      <c r="F47" s="52"/>
      <c r="G47" s="52"/>
      <c r="H47" s="52"/>
      <c r="I47" s="52" t="s">
        <v>238</v>
      </c>
      <c r="J47" s="103">
        <v>32</v>
      </c>
      <c r="K47" s="136">
        <v>0</v>
      </c>
      <c r="L47" s="103">
        <f t="shared" si="0"/>
        <v>0</v>
      </c>
      <c r="M47" s="137" t="s">
        <v>140</v>
      </c>
      <c r="N47" s="86"/>
      <c r="Z47" s="103">
        <f t="shared" si="1"/>
        <v>0</v>
      </c>
      <c r="AB47" s="103">
        <f t="shared" si="2"/>
        <v>0</v>
      </c>
      <c r="AC47" s="103">
        <f t="shared" si="3"/>
        <v>0</v>
      </c>
      <c r="AD47" s="103">
        <f t="shared" si="4"/>
        <v>0</v>
      </c>
      <c r="AE47" s="103">
        <f t="shared" si="5"/>
        <v>0</v>
      </c>
      <c r="AF47" s="103">
        <f t="shared" si="6"/>
        <v>0</v>
      </c>
      <c r="AG47" s="103">
        <f t="shared" si="7"/>
        <v>0</v>
      </c>
      <c r="AH47" s="103">
        <f t="shared" si="8"/>
        <v>0</v>
      </c>
      <c r="AI47" s="120"/>
      <c r="AJ47" s="103">
        <f t="shared" si="9"/>
        <v>0</v>
      </c>
      <c r="AK47" s="103">
        <f t="shared" si="10"/>
        <v>0</v>
      </c>
      <c r="AL47" s="103">
        <f t="shared" si="11"/>
        <v>0</v>
      </c>
      <c r="AN47" s="103">
        <v>21</v>
      </c>
      <c r="AO47" s="103">
        <f>K47*0.45781193640576</f>
        <v>0</v>
      </c>
      <c r="AP47" s="103">
        <f>K47*(1-0.45781193640576)</f>
        <v>0</v>
      </c>
      <c r="AQ47" s="138" t="s">
        <v>162</v>
      </c>
      <c r="AV47" s="103">
        <f t="shared" si="12"/>
        <v>0</v>
      </c>
      <c r="AW47" s="103">
        <f t="shared" si="13"/>
        <v>0</v>
      </c>
      <c r="AX47" s="103">
        <f t="shared" si="14"/>
        <v>0</v>
      </c>
      <c r="AY47" s="138" t="s">
        <v>239</v>
      </c>
      <c r="AZ47" s="138" t="s">
        <v>240</v>
      </c>
      <c r="BA47" s="120" t="s">
        <v>143</v>
      </c>
      <c r="BC47" s="103">
        <f t="shared" si="15"/>
        <v>0</v>
      </c>
      <c r="BD47" s="103">
        <f t="shared" si="16"/>
        <v>0</v>
      </c>
      <c r="BE47" s="103">
        <v>0</v>
      </c>
      <c r="BF47" s="103">
        <f>47</f>
        <v>47</v>
      </c>
      <c r="BH47" s="103">
        <f t="shared" si="17"/>
        <v>0</v>
      </c>
      <c r="BI47" s="103">
        <f t="shared" si="18"/>
        <v>0</v>
      </c>
      <c r="BJ47" s="103">
        <f t="shared" si="19"/>
        <v>0</v>
      </c>
      <c r="BK47" s="103" t="s">
        <v>144</v>
      </c>
      <c r="BL47" s="103">
        <v>721</v>
      </c>
    </row>
    <row r="48" spans="1:64" ht="21.75" customHeight="1">
      <c r="A48" s="104" t="s">
        <v>244</v>
      </c>
      <c r="B48" s="52" t="s">
        <v>245</v>
      </c>
      <c r="C48" s="52" t="s">
        <v>246</v>
      </c>
      <c r="D48" s="52"/>
      <c r="E48" s="52"/>
      <c r="F48" s="52"/>
      <c r="G48" s="52"/>
      <c r="H48" s="52"/>
      <c r="I48" s="52" t="s">
        <v>238</v>
      </c>
      <c r="J48" s="103">
        <v>33</v>
      </c>
      <c r="K48" s="136">
        <v>0</v>
      </c>
      <c r="L48" s="103">
        <f t="shared" si="0"/>
        <v>0</v>
      </c>
      <c r="M48" s="137" t="s">
        <v>140</v>
      </c>
      <c r="N48" s="86"/>
      <c r="Z48" s="103">
        <f t="shared" si="1"/>
        <v>0</v>
      </c>
      <c r="AB48" s="103">
        <f t="shared" si="2"/>
        <v>0</v>
      </c>
      <c r="AC48" s="103">
        <f t="shared" si="3"/>
        <v>0</v>
      </c>
      <c r="AD48" s="103">
        <f t="shared" si="4"/>
        <v>0</v>
      </c>
      <c r="AE48" s="103">
        <f t="shared" si="5"/>
        <v>0</v>
      </c>
      <c r="AF48" s="103">
        <f t="shared" si="6"/>
        <v>0</v>
      </c>
      <c r="AG48" s="103">
        <f t="shared" si="7"/>
        <v>0</v>
      </c>
      <c r="AH48" s="103">
        <f t="shared" si="8"/>
        <v>0</v>
      </c>
      <c r="AI48" s="120"/>
      <c r="AJ48" s="103">
        <f t="shared" si="9"/>
        <v>0</v>
      </c>
      <c r="AK48" s="103">
        <f t="shared" si="10"/>
        <v>0</v>
      </c>
      <c r="AL48" s="103">
        <f t="shared" si="11"/>
        <v>0</v>
      </c>
      <c r="AN48" s="103">
        <v>21</v>
      </c>
      <c r="AO48" s="103">
        <f>K48*0.447939317319848</f>
        <v>0</v>
      </c>
      <c r="AP48" s="103">
        <f>K48*(1-0.447939317319848)</f>
        <v>0</v>
      </c>
      <c r="AQ48" s="138" t="s">
        <v>162</v>
      </c>
      <c r="AV48" s="103">
        <f t="shared" si="12"/>
        <v>0</v>
      </c>
      <c r="AW48" s="103">
        <f t="shared" si="13"/>
        <v>0</v>
      </c>
      <c r="AX48" s="103">
        <f t="shared" si="14"/>
        <v>0</v>
      </c>
      <c r="AY48" s="138" t="s">
        <v>239</v>
      </c>
      <c r="AZ48" s="138" t="s">
        <v>240</v>
      </c>
      <c r="BA48" s="120" t="s">
        <v>143</v>
      </c>
      <c r="BC48" s="103">
        <f t="shared" si="15"/>
        <v>0</v>
      </c>
      <c r="BD48" s="103">
        <f t="shared" si="16"/>
        <v>0</v>
      </c>
      <c r="BE48" s="103">
        <v>0</v>
      </c>
      <c r="BF48" s="103">
        <f>48</f>
        <v>48</v>
      </c>
      <c r="BH48" s="103">
        <f t="shared" si="17"/>
        <v>0</v>
      </c>
      <c r="BI48" s="103">
        <f t="shared" si="18"/>
        <v>0</v>
      </c>
      <c r="BJ48" s="103">
        <f t="shared" si="19"/>
        <v>0</v>
      </c>
      <c r="BK48" s="103" t="s">
        <v>144</v>
      </c>
      <c r="BL48" s="103">
        <v>721</v>
      </c>
    </row>
    <row r="49" spans="1:64" ht="21.75" customHeight="1">
      <c r="A49" s="104" t="s">
        <v>247</v>
      </c>
      <c r="B49" s="52" t="s">
        <v>248</v>
      </c>
      <c r="C49" s="52" t="s">
        <v>249</v>
      </c>
      <c r="D49" s="52"/>
      <c r="E49" s="52"/>
      <c r="F49" s="52"/>
      <c r="G49" s="52"/>
      <c r="H49" s="52"/>
      <c r="I49" s="52" t="s">
        <v>238</v>
      </c>
      <c r="J49" s="103">
        <v>16</v>
      </c>
      <c r="K49" s="136">
        <v>0</v>
      </c>
      <c r="L49" s="103">
        <f t="shared" si="0"/>
        <v>0</v>
      </c>
      <c r="M49" s="137" t="s">
        <v>140</v>
      </c>
      <c r="N49" s="86"/>
      <c r="Z49" s="103">
        <f t="shared" si="1"/>
        <v>0</v>
      </c>
      <c r="AB49" s="103">
        <f t="shared" si="2"/>
        <v>0</v>
      </c>
      <c r="AC49" s="103">
        <f t="shared" si="3"/>
        <v>0</v>
      </c>
      <c r="AD49" s="103">
        <f t="shared" si="4"/>
        <v>0</v>
      </c>
      <c r="AE49" s="103">
        <f t="shared" si="5"/>
        <v>0</v>
      </c>
      <c r="AF49" s="103">
        <f t="shared" si="6"/>
        <v>0</v>
      </c>
      <c r="AG49" s="103">
        <f t="shared" si="7"/>
        <v>0</v>
      </c>
      <c r="AH49" s="103">
        <f t="shared" si="8"/>
        <v>0</v>
      </c>
      <c r="AI49" s="120"/>
      <c r="AJ49" s="103">
        <f t="shared" si="9"/>
        <v>0</v>
      </c>
      <c r="AK49" s="103">
        <f t="shared" si="10"/>
        <v>0</v>
      </c>
      <c r="AL49" s="103">
        <f t="shared" si="11"/>
        <v>0</v>
      </c>
      <c r="AN49" s="103">
        <v>21</v>
      </c>
      <c r="AO49" s="103">
        <f>K49*0.354411764705882</f>
        <v>0</v>
      </c>
      <c r="AP49" s="103">
        <f>K49*(1-0.354411764705882)</f>
        <v>0</v>
      </c>
      <c r="AQ49" s="138" t="s">
        <v>162</v>
      </c>
      <c r="AV49" s="103">
        <f t="shared" si="12"/>
        <v>0</v>
      </c>
      <c r="AW49" s="103">
        <f t="shared" si="13"/>
        <v>0</v>
      </c>
      <c r="AX49" s="103">
        <f t="shared" si="14"/>
        <v>0</v>
      </c>
      <c r="AY49" s="138" t="s">
        <v>239</v>
      </c>
      <c r="AZ49" s="138" t="s">
        <v>240</v>
      </c>
      <c r="BA49" s="120" t="s">
        <v>143</v>
      </c>
      <c r="BC49" s="103">
        <f t="shared" si="15"/>
        <v>0</v>
      </c>
      <c r="BD49" s="103">
        <f t="shared" si="16"/>
        <v>0</v>
      </c>
      <c r="BE49" s="103">
        <v>0</v>
      </c>
      <c r="BF49" s="103">
        <f>49</f>
        <v>49</v>
      </c>
      <c r="BH49" s="103">
        <f t="shared" si="17"/>
        <v>0</v>
      </c>
      <c r="BI49" s="103">
        <f t="shared" si="18"/>
        <v>0</v>
      </c>
      <c r="BJ49" s="103">
        <f t="shared" si="19"/>
        <v>0</v>
      </c>
      <c r="BK49" s="103" t="s">
        <v>144</v>
      </c>
      <c r="BL49" s="103">
        <v>721</v>
      </c>
    </row>
    <row r="50" spans="1:64" ht="21.75" customHeight="1">
      <c r="A50" s="104" t="s">
        <v>250</v>
      </c>
      <c r="B50" s="52" t="s">
        <v>251</v>
      </c>
      <c r="C50" s="52" t="s">
        <v>252</v>
      </c>
      <c r="D50" s="52"/>
      <c r="E50" s="52"/>
      <c r="F50" s="52"/>
      <c r="G50" s="52"/>
      <c r="H50" s="52"/>
      <c r="I50" s="52" t="s">
        <v>253</v>
      </c>
      <c r="J50" s="103">
        <v>2</v>
      </c>
      <c r="K50" s="136">
        <v>0</v>
      </c>
      <c r="L50" s="103">
        <f t="shared" si="0"/>
        <v>0</v>
      </c>
      <c r="M50" s="137" t="s">
        <v>140</v>
      </c>
      <c r="N50" s="86"/>
      <c r="Z50" s="103">
        <f t="shared" si="1"/>
        <v>0</v>
      </c>
      <c r="AB50" s="103">
        <f t="shared" si="2"/>
        <v>0</v>
      </c>
      <c r="AC50" s="103">
        <f t="shared" si="3"/>
        <v>0</v>
      </c>
      <c r="AD50" s="103">
        <f t="shared" si="4"/>
        <v>0</v>
      </c>
      <c r="AE50" s="103">
        <f t="shared" si="5"/>
        <v>0</v>
      </c>
      <c r="AF50" s="103">
        <f t="shared" si="6"/>
        <v>0</v>
      </c>
      <c r="AG50" s="103">
        <f t="shared" si="7"/>
        <v>0</v>
      </c>
      <c r="AH50" s="103">
        <f t="shared" si="8"/>
        <v>0</v>
      </c>
      <c r="AI50" s="120"/>
      <c r="AJ50" s="103">
        <f t="shared" si="9"/>
        <v>0</v>
      </c>
      <c r="AK50" s="103">
        <f t="shared" si="10"/>
        <v>0</v>
      </c>
      <c r="AL50" s="103">
        <f t="shared" si="11"/>
        <v>0</v>
      </c>
      <c r="AN50" s="103">
        <v>21</v>
      </c>
      <c r="AO50" s="103">
        <f>K50*0.775351928280196</f>
        <v>0</v>
      </c>
      <c r="AP50" s="103">
        <f>K50*(1-0.775351928280196)</f>
        <v>0</v>
      </c>
      <c r="AQ50" s="138" t="s">
        <v>162</v>
      </c>
      <c r="AV50" s="103">
        <f t="shared" si="12"/>
        <v>0</v>
      </c>
      <c r="AW50" s="103">
        <f t="shared" si="13"/>
        <v>0</v>
      </c>
      <c r="AX50" s="103">
        <f t="shared" si="14"/>
        <v>0</v>
      </c>
      <c r="AY50" s="138" t="s">
        <v>239</v>
      </c>
      <c r="AZ50" s="138" t="s">
        <v>240</v>
      </c>
      <c r="BA50" s="120" t="s">
        <v>143</v>
      </c>
      <c r="BC50" s="103">
        <f t="shared" si="15"/>
        <v>0</v>
      </c>
      <c r="BD50" s="103">
        <f t="shared" si="16"/>
        <v>0</v>
      </c>
      <c r="BE50" s="103">
        <v>0</v>
      </c>
      <c r="BF50" s="103">
        <f>50</f>
        <v>50</v>
      </c>
      <c r="BH50" s="103">
        <f t="shared" si="17"/>
        <v>0</v>
      </c>
      <c r="BI50" s="103">
        <f t="shared" si="18"/>
        <v>0</v>
      </c>
      <c r="BJ50" s="103">
        <f t="shared" si="19"/>
        <v>0</v>
      </c>
      <c r="BK50" s="103" t="s">
        <v>144</v>
      </c>
      <c r="BL50" s="103">
        <v>721</v>
      </c>
    </row>
    <row r="51" spans="1:64" ht="21.75" customHeight="1">
      <c r="A51" s="104" t="s">
        <v>200</v>
      </c>
      <c r="B51" s="52" t="s">
        <v>254</v>
      </c>
      <c r="C51" s="52" t="s">
        <v>255</v>
      </c>
      <c r="D51" s="52"/>
      <c r="E51" s="52"/>
      <c r="F51" s="52"/>
      <c r="G51" s="52"/>
      <c r="H51" s="52"/>
      <c r="I51" s="52" t="s">
        <v>253</v>
      </c>
      <c r="J51" s="103">
        <v>1</v>
      </c>
      <c r="K51" s="136">
        <v>0</v>
      </c>
      <c r="L51" s="103">
        <f t="shared" si="0"/>
        <v>0</v>
      </c>
      <c r="M51" s="137" t="s">
        <v>140</v>
      </c>
      <c r="N51" s="86"/>
      <c r="Z51" s="103">
        <f t="shared" si="1"/>
        <v>0</v>
      </c>
      <c r="AB51" s="103">
        <f t="shared" si="2"/>
        <v>0</v>
      </c>
      <c r="AC51" s="103">
        <f t="shared" si="3"/>
        <v>0</v>
      </c>
      <c r="AD51" s="103">
        <f t="shared" si="4"/>
        <v>0</v>
      </c>
      <c r="AE51" s="103">
        <f t="shared" si="5"/>
        <v>0</v>
      </c>
      <c r="AF51" s="103">
        <f t="shared" si="6"/>
        <v>0</v>
      </c>
      <c r="AG51" s="103">
        <f t="shared" si="7"/>
        <v>0</v>
      </c>
      <c r="AH51" s="103">
        <f t="shared" si="8"/>
        <v>0</v>
      </c>
      <c r="AI51" s="120"/>
      <c r="AJ51" s="103">
        <f t="shared" si="9"/>
        <v>0</v>
      </c>
      <c r="AK51" s="103">
        <f t="shared" si="10"/>
        <v>0</v>
      </c>
      <c r="AL51" s="103">
        <f t="shared" si="11"/>
        <v>0</v>
      </c>
      <c r="AN51" s="103">
        <v>21</v>
      </c>
      <c r="AO51" s="103">
        <f>K51*0.147533425541724</f>
        <v>0</v>
      </c>
      <c r="AP51" s="103">
        <f>K51*(1-0.147533425541724)</f>
        <v>0</v>
      </c>
      <c r="AQ51" s="138" t="s">
        <v>162</v>
      </c>
      <c r="AV51" s="103">
        <f t="shared" si="12"/>
        <v>0</v>
      </c>
      <c r="AW51" s="103">
        <f t="shared" si="13"/>
        <v>0</v>
      </c>
      <c r="AX51" s="103">
        <f t="shared" si="14"/>
        <v>0</v>
      </c>
      <c r="AY51" s="138" t="s">
        <v>239</v>
      </c>
      <c r="AZ51" s="138" t="s">
        <v>240</v>
      </c>
      <c r="BA51" s="120" t="s">
        <v>143</v>
      </c>
      <c r="BC51" s="103">
        <f t="shared" si="15"/>
        <v>0</v>
      </c>
      <c r="BD51" s="103">
        <f t="shared" si="16"/>
        <v>0</v>
      </c>
      <c r="BE51" s="103">
        <v>0</v>
      </c>
      <c r="BF51" s="103">
        <f>51</f>
        <v>51</v>
      </c>
      <c r="BH51" s="103">
        <f t="shared" si="17"/>
        <v>0</v>
      </c>
      <c r="BI51" s="103">
        <f t="shared" si="18"/>
        <v>0</v>
      </c>
      <c r="BJ51" s="103">
        <f t="shared" si="19"/>
        <v>0</v>
      </c>
      <c r="BK51" s="103" t="s">
        <v>144</v>
      </c>
      <c r="BL51" s="103">
        <v>721</v>
      </c>
    </row>
    <row r="52" spans="1:64" ht="21.75" customHeight="1">
      <c r="A52" s="104" t="s">
        <v>256</v>
      </c>
      <c r="B52" s="52" t="s">
        <v>257</v>
      </c>
      <c r="C52" s="52" t="s">
        <v>258</v>
      </c>
      <c r="D52" s="52"/>
      <c r="E52" s="52"/>
      <c r="F52" s="52"/>
      <c r="G52" s="52"/>
      <c r="H52" s="52"/>
      <c r="I52" s="52" t="s">
        <v>253</v>
      </c>
      <c r="J52" s="103">
        <v>12</v>
      </c>
      <c r="K52" s="136">
        <v>0</v>
      </c>
      <c r="L52" s="103">
        <f t="shared" si="0"/>
        <v>0</v>
      </c>
      <c r="M52" s="137" t="s">
        <v>140</v>
      </c>
      <c r="N52" s="86"/>
      <c r="Z52" s="103">
        <f t="shared" si="1"/>
        <v>0</v>
      </c>
      <c r="AB52" s="103">
        <f t="shared" si="2"/>
        <v>0</v>
      </c>
      <c r="AC52" s="103">
        <f t="shared" si="3"/>
        <v>0</v>
      </c>
      <c r="AD52" s="103">
        <f t="shared" si="4"/>
        <v>0</v>
      </c>
      <c r="AE52" s="103">
        <f t="shared" si="5"/>
        <v>0</v>
      </c>
      <c r="AF52" s="103">
        <f t="shared" si="6"/>
        <v>0</v>
      </c>
      <c r="AG52" s="103">
        <f t="shared" si="7"/>
        <v>0</v>
      </c>
      <c r="AH52" s="103">
        <f t="shared" si="8"/>
        <v>0</v>
      </c>
      <c r="AI52" s="120"/>
      <c r="AJ52" s="103">
        <f t="shared" si="9"/>
        <v>0</v>
      </c>
      <c r="AK52" s="103">
        <f t="shared" si="10"/>
        <v>0</v>
      </c>
      <c r="AL52" s="103">
        <f t="shared" si="11"/>
        <v>0</v>
      </c>
      <c r="AN52" s="103">
        <v>21</v>
      </c>
      <c r="AO52" s="103">
        <f>K52*0.151608483915161</f>
        <v>0</v>
      </c>
      <c r="AP52" s="103">
        <f>K52*(1-0.151608483915161)</f>
        <v>0</v>
      </c>
      <c r="AQ52" s="138" t="s">
        <v>162</v>
      </c>
      <c r="AV52" s="103">
        <f t="shared" si="12"/>
        <v>0</v>
      </c>
      <c r="AW52" s="103">
        <f t="shared" si="13"/>
        <v>0</v>
      </c>
      <c r="AX52" s="103">
        <f t="shared" si="14"/>
        <v>0</v>
      </c>
      <c r="AY52" s="138" t="s">
        <v>239</v>
      </c>
      <c r="AZ52" s="138" t="s">
        <v>240</v>
      </c>
      <c r="BA52" s="120" t="s">
        <v>143</v>
      </c>
      <c r="BC52" s="103">
        <f t="shared" si="15"/>
        <v>0</v>
      </c>
      <c r="BD52" s="103">
        <f t="shared" si="16"/>
        <v>0</v>
      </c>
      <c r="BE52" s="103">
        <v>0</v>
      </c>
      <c r="BF52" s="103">
        <f>52</f>
        <v>52</v>
      </c>
      <c r="BH52" s="103">
        <f t="shared" si="17"/>
        <v>0</v>
      </c>
      <c r="BI52" s="103">
        <f t="shared" si="18"/>
        <v>0</v>
      </c>
      <c r="BJ52" s="103">
        <f t="shared" si="19"/>
        <v>0</v>
      </c>
      <c r="BK52" s="103" t="s">
        <v>144</v>
      </c>
      <c r="BL52" s="103">
        <v>721</v>
      </c>
    </row>
    <row r="53" spans="1:64" ht="21.75" customHeight="1">
      <c r="A53" s="104" t="s">
        <v>259</v>
      </c>
      <c r="B53" s="52" t="s">
        <v>260</v>
      </c>
      <c r="C53" s="52" t="s">
        <v>261</v>
      </c>
      <c r="D53" s="52"/>
      <c r="E53" s="52"/>
      <c r="F53" s="52"/>
      <c r="G53" s="52"/>
      <c r="H53" s="52"/>
      <c r="I53" s="52" t="s">
        <v>238</v>
      </c>
      <c r="J53" s="103">
        <v>81</v>
      </c>
      <c r="K53" s="136">
        <v>0</v>
      </c>
      <c r="L53" s="103">
        <f t="shared" si="0"/>
        <v>0</v>
      </c>
      <c r="M53" s="137" t="s">
        <v>140</v>
      </c>
      <c r="N53" s="86"/>
      <c r="Z53" s="103">
        <f t="shared" si="1"/>
        <v>0</v>
      </c>
      <c r="AB53" s="103">
        <f t="shared" si="2"/>
        <v>0</v>
      </c>
      <c r="AC53" s="103">
        <f t="shared" si="3"/>
        <v>0</v>
      </c>
      <c r="AD53" s="103">
        <f t="shared" si="4"/>
        <v>0</v>
      </c>
      <c r="AE53" s="103">
        <f t="shared" si="5"/>
        <v>0</v>
      </c>
      <c r="AF53" s="103">
        <f t="shared" si="6"/>
        <v>0</v>
      </c>
      <c r="AG53" s="103">
        <f t="shared" si="7"/>
        <v>0</v>
      </c>
      <c r="AH53" s="103">
        <f t="shared" si="8"/>
        <v>0</v>
      </c>
      <c r="AI53" s="120"/>
      <c r="AJ53" s="103">
        <f t="shared" si="9"/>
        <v>0</v>
      </c>
      <c r="AK53" s="103">
        <f t="shared" si="10"/>
        <v>0</v>
      </c>
      <c r="AL53" s="103">
        <f t="shared" si="11"/>
        <v>0</v>
      </c>
      <c r="AN53" s="103">
        <v>21</v>
      </c>
      <c r="AO53" s="103">
        <f>K53*0.0499903119550475</f>
        <v>0</v>
      </c>
      <c r="AP53" s="103">
        <f>K53*(1-0.0499903119550475)</f>
        <v>0</v>
      </c>
      <c r="AQ53" s="138" t="s">
        <v>162</v>
      </c>
      <c r="AV53" s="103">
        <f t="shared" si="12"/>
        <v>0</v>
      </c>
      <c r="AW53" s="103">
        <f t="shared" si="13"/>
        <v>0</v>
      </c>
      <c r="AX53" s="103">
        <f t="shared" si="14"/>
        <v>0</v>
      </c>
      <c r="AY53" s="138" t="s">
        <v>239</v>
      </c>
      <c r="AZ53" s="138" t="s">
        <v>240</v>
      </c>
      <c r="BA53" s="120" t="s">
        <v>143</v>
      </c>
      <c r="BC53" s="103">
        <f t="shared" si="15"/>
        <v>0</v>
      </c>
      <c r="BD53" s="103">
        <f t="shared" si="16"/>
        <v>0</v>
      </c>
      <c r="BE53" s="103">
        <v>0</v>
      </c>
      <c r="BF53" s="103">
        <f>53</f>
        <v>53</v>
      </c>
      <c r="BH53" s="103">
        <f t="shared" si="17"/>
        <v>0</v>
      </c>
      <c r="BI53" s="103">
        <f t="shared" si="18"/>
        <v>0</v>
      </c>
      <c r="BJ53" s="103">
        <f t="shared" si="19"/>
        <v>0</v>
      </c>
      <c r="BK53" s="103" t="s">
        <v>144</v>
      </c>
      <c r="BL53" s="103">
        <v>721</v>
      </c>
    </row>
    <row r="54" spans="1:64" ht="21.75" customHeight="1">
      <c r="A54" s="104" t="s">
        <v>262</v>
      </c>
      <c r="B54" s="52" t="s">
        <v>263</v>
      </c>
      <c r="C54" s="52" t="s">
        <v>264</v>
      </c>
      <c r="D54" s="52"/>
      <c r="E54" s="52"/>
      <c r="F54" s="52"/>
      <c r="G54" s="52"/>
      <c r="H54" s="52"/>
      <c r="I54" s="52" t="s">
        <v>265</v>
      </c>
      <c r="J54" s="103">
        <v>1</v>
      </c>
      <c r="K54" s="136">
        <v>0</v>
      </c>
      <c r="L54" s="103">
        <f t="shared" si="0"/>
        <v>0</v>
      </c>
      <c r="M54" s="137"/>
      <c r="N54" s="86"/>
      <c r="Z54" s="103">
        <f t="shared" si="1"/>
        <v>0</v>
      </c>
      <c r="AB54" s="103">
        <f t="shared" si="2"/>
        <v>0</v>
      </c>
      <c r="AC54" s="103">
        <f t="shared" si="3"/>
        <v>0</v>
      </c>
      <c r="AD54" s="103">
        <f t="shared" si="4"/>
        <v>0</v>
      </c>
      <c r="AE54" s="103">
        <f t="shared" si="5"/>
        <v>0</v>
      </c>
      <c r="AF54" s="103">
        <f t="shared" si="6"/>
        <v>0</v>
      </c>
      <c r="AG54" s="103">
        <f t="shared" si="7"/>
        <v>0</v>
      </c>
      <c r="AH54" s="103">
        <f t="shared" si="8"/>
        <v>0</v>
      </c>
      <c r="AI54" s="120"/>
      <c r="AJ54" s="103">
        <f t="shared" si="9"/>
        <v>0</v>
      </c>
      <c r="AK54" s="103">
        <f t="shared" si="10"/>
        <v>0</v>
      </c>
      <c r="AL54" s="103">
        <f t="shared" si="11"/>
        <v>0</v>
      </c>
      <c r="AN54" s="103">
        <v>21</v>
      </c>
      <c r="AO54" s="103">
        <f>K54*0</f>
        <v>0</v>
      </c>
      <c r="AP54" s="103">
        <f>K54*(1-0)</f>
        <v>0</v>
      </c>
      <c r="AQ54" s="138" t="s">
        <v>162</v>
      </c>
      <c r="AV54" s="103">
        <f t="shared" si="12"/>
        <v>0</v>
      </c>
      <c r="AW54" s="103">
        <f t="shared" si="13"/>
        <v>0</v>
      </c>
      <c r="AX54" s="103">
        <f t="shared" si="14"/>
        <v>0</v>
      </c>
      <c r="AY54" s="138" t="s">
        <v>239</v>
      </c>
      <c r="AZ54" s="138" t="s">
        <v>240</v>
      </c>
      <c r="BA54" s="120" t="s">
        <v>143</v>
      </c>
      <c r="BC54" s="103">
        <f t="shared" si="15"/>
        <v>0</v>
      </c>
      <c r="BD54" s="103">
        <f t="shared" si="16"/>
        <v>0</v>
      </c>
      <c r="BE54" s="103">
        <v>0</v>
      </c>
      <c r="BF54" s="103">
        <f>54</f>
        <v>54</v>
      </c>
      <c r="BH54" s="103">
        <f t="shared" si="17"/>
        <v>0</v>
      </c>
      <c r="BI54" s="103">
        <f t="shared" si="18"/>
        <v>0</v>
      </c>
      <c r="BJ54" s="103">
        <f t="shared" si="19"/>
        <v>0</v>
      </c>
      <c r="BK54" s="103" t="s">
        <v>144</v>
      </c>
      <c r="BL54" s="103">
        <v>721</v>
      </c>
    </row>
    <row r="55" spans="1:64" ht="21.75" customHeight="1">
      <c r="A55" s="104" t="s">
        <v>266</v>
      </c>
      <c r="B55" s="52" t="s">
        <v>267</v>
      </c>
      <c r="C55" s="52" t="s">
        <v>268</v>
      </c>
      <c r="D55" s="52"/>
      <c r="E55" s="52"/>
      <c r="F55" s="52"/>
      <c r="G55" s="52"/>
      <c r="H55" s="52"/>
      <c r="I55" s="52" t="s">
        <v>265</v>
      </c>
      <c r="J55" s="103">
        <v>1</v>
      </c>
      <c r="K55" s="136">
        <v>0</v>
      </c>
      <c r="L55" s="103">
        <f t="shared" si="0"/>
        <v>0</v>
      </c>
      <c r="M55" s="137"/>
      <c r="N55" s="86"/>
      <c r="Z55" s="103">
        <f t="shared" si="1"/>
        <v>0</v>
      </c>
      <c r="AB55" s="103">
        <f t="shared" si="2"/>
        <v>0</v>
      </c>
      <c r="AC55" s="103">
        <f t="shared" si="3"/>
        <v>0</v>
      </c>
      <c r="AD55" s="103">
        <f t="shared" si="4"/>
        <v>0</v>
      </c>
      <c r="AE55" s="103">
        <f t="shared" si="5"/>
        <v>0</v>
      </c>
      <c r="AF55" s="103">
        <f t="shared" si="6"/>
        <v>0</v>
      </c>
      <c r="AG55" s="103">
        <f t="shared" si="7"/>
        <v>0</v>
      </c>
      <c r="AH55" s="103">
        <f t="shared" si="8"/>
        <v>0</v>
      </c>
      <c r="AI55" s="120"/>
      <c r="AJ55" s="103">
        <f t="shared" si="9"/>
        <v>0</v>
      </c>
      <c r="AK55" s="103">
        <f t="shared" si="10"/>
        <v>0</v>
      </c>
      <c r="AL55" s="103">
        <f t="shared" si="11"/>
        <v>0</v>
      </c>
      <c r="AN55" s="103">
        <v>21</v>
      </c>
      <c r="AO55" s="103">
        <f>K55*0</f>
        <v>0</v>
      </c>
      <c r="AP55" s="103">
        <f>K55*(1-0)</f>
        <v>0</v>
      </c>
      <c r="AQ55" s="138" t="s">
        <v>162</v>
      </c>
      <c r="AV55" s="103">
        <f t="shared" si="12"/>
        <v>0</v>
      </c>
      <c r="AW55" s="103">
        <f t="shared" si="13"/>
        <v>0</v>
      </c>
      <c r="AX55" s="103">
        <f t="shared" si="14"/>
        <v>0</v>
      </c>
      <c r="AY55" s="138" t="s">
        <v>239</v>
      </c>
      <c r="AZ55" s="138" t="s">
        <v>240</v>
      </c>
      <c r="BA55" s="120" t="s">
        <v>143</v>
      </c>
      <c r="BC55" s="103">
        <f t="shared" si="15"/>
        <v>0</v>
      </c>
      <c r="BD55" s="103">
        <f t="shared" si="16"/>
        <v>0</v>
      </c>
      <c r="BE55" s="103">
        <v>0</v>
      </c>
      <c r="BF55" s="103">
        <f>55</f>
        <v>55</v>
      </c>
      <c r="BH55" s="103">
        <f t="shared" si="17"/>
        <v>0</v>
      </c>
      <c r="BI55" s="103">
        <f t="shared" si="18"/>
        <v>0</v>
      </c>
      <c r="BJ55" s="103">
        <f t="shared" si="19"/>
        <v>0</v>
      </c>
      <c r="BK55" s="103" t="s">
        <v>144</v>
      </c>
      <c r="BL55" s="103">
        <v>721</v>
      </c>
    </row>
    <row r="56" spans="1:64" ht="21.75" customHeight="1">
      <c r="A56" s="104" t="s">
        <v>269</v>
      </c>
      <c r="B56" s="52" t="s">
        <v>270</v>
      </c>
      <c r="C56" s="52" t="s">
        <v>271</v>
      </c>
      <c r="D56" s="52"/>
      <c r="E56" s="52"/>
      <c r="F56" s="52"/>
      <c r="G56" s="52"/>
      <c r="H56" s="52"/>
      <c r="I56" s="52" t="s">
        <v>265</v>
      </c>
      <c r="J56" s="103">
        <v>1</v>
      </c>
      <c r="K56" s="136">
        <v>0</v>
      </c>
      <c r="L56" s="103">
        <f t="shared" si="0"/>
        <v>0</v>
      </c>
      <c r="M56" s="137" t="s">
        <v>140</v>
      </c>
      <c r="N56" s="86"/>
      <c r="Z56" s="103">
        <f t="shared" si="1"/>
        <v>0</v>
      </c>
      <c r="AB56" s="103">
        <f t="shared" si="2"/>
        <v>0</v>
      </c>
      <c r="AC56" s="103">
        <f t="shared" si="3"/>
        <v>0</v>
      </c>
      <c r="AD56" s="103">
        <f t="shared" si="4"/>
        <v>0</v>
      </c>
      <c r="AE56" s="103">
        <f t="shared" si="5"/>
        <v>0</v>
      </c>
      <c r="AF56" s="103">
        <f t="shared" si="6"/>
        <v>0</v>
      </c>
      <c r="AG56" s="103">
        <f t="shared" si="7"/>
        <v>0</v>
      </c>
      <c r="AH56" s="103">
        <f t="shared" si="8"/>
        <v>0</v>
      </c>
      <c r="AI56" s="120"/>
      <c r="AJ56" s="103">
        <f t="shared" si="9"/>
        <v>0</v>
      </c>
      <c r="AK56" s="103">
        <f t="shared" si="10"/>
        <v>0</v>
      </c>
      <c r="AL56" s="103">
        <f t="shared" si="11"/>
        <v>0</v>
      </c>
      <c r="AN56" s="103">
        <v>21</v>
      </c>
      <c r="AO56" s="103">
        <f>K56*0.130352830351005</f>
        <v>0</v>
      </c>
      <c r="AP56" s="103">
        <f>K56*(1-0.130352830351005)</f>
        <v>0</v>
      </c>
      <c r="AQ56" s="138" t="s">
        <v>162</v>
      </c>
      <c r="AV56" s="103">
        <f t="shared" si="12"/>
        <v>0</v>
      </c>
      <c r="AW56" s="103">
        <f t="shared" si="13"/>
        <v>0</v>
      </c>
      <c r="AX56" s="103">
        <f t="shared" si="14"/>
        <v>0</v>
      </c>
      <c r="AY56" s="138" t="s">
        <v>239</v>
      </c>
      <c r="AZ56" s="138" t="s">
        <v>240</v>
      </c>
      <c r="BA56" s="120" t="s">
        <v>143</v>
      </c>
      <c r="BC56" s="103">
        <f t="shared" si="15"/>
        <v>0</v>
      </c>
      <c r="BD56" s="103">
        <f t="shared" si="16"/>
        <v>0</v>
      </c>
      <c r="BE56" s="103">
        <v>0</v>
      </c>
      <c r="BF56" s="103">
        <f>56</f>
        <v>56</v>
      </c>
      <c r="BH56" s="103">
        <f t="shared" si="17"/>
        <v>0</v>
      </c>
      <c r="BI56" s="103">
        <f t="shared" si="18"/>
        <v>0</v>
      </c>
      <c r="BJ56" s="103">
        <f t="shared" si="19"/>
        <v>0</v>
      </c>
      <c r="BK56" s="103" t="s">
        <v>144</v>
      </c>
      <c r="BL56" s="103">
        <v>721</v>
      </c>
    </row>
    <row r="57" spans="1:64" ht="21.75" customHeight="1">
      <c r="A57" s="104" t="s">
        <v>272</v>
      </c>
      <c r="B57" s="52" t="s">
        <v>254</v>
      </c>
      <c r="C57" s="52" t="s">
        <v>273</v>
      </c>
      <c r="D57" s="52"/>
      <c r="E57" s="52"/>
      <c r="F57" s="52"/>
      <c r="G57" s="52"/>
      <c r="H57" s="52"/>
      <c r="I57" s="52" t="s">
        <v>253</v>
      </c>
      <c r="J57" s="103">
        <v>1</v>
      </c>
      <c r="K57" s="136">
        <v>0</v>
      </c>
      <c r="L57" s="103">
        <f t="shared" si="0"/>
        <v>0</v>
      </c>
      <c r="M57" s="137" t="s">
        <v>140</v>
      </c>
      <c r="N57" s="86"/>
      <c r="Z57" s="103">
        <f t="shared" si="1"/>
        <v>0</v>
      </c>
      <c r="AB57" s="103">
        <f t="shared" si="2"/>
        <v>0</v>
      </c>
      <c r="AC57" s="103">
        <f t="shared" si="3"/>
        <v>0</v>
      </c>
      <c r="AD57" s="103">
        <f t="shared" si="4"/>
        <v>0</v>
      </c>
      <c r="AE57" s="103">
        <f t="shared" si="5"/>
        <v>0</v>
      </c>
      <c r="AF57" s="103">
        <f t="shared" si="6"/>
        <v>0</v>
      </c>
      <c r="AG57" s="103">
        <f t="shared" si="7"/>
        <v>0</v>
      </c>
      <c r="AH57" s="103">
        <f t="shared" si="8"/>
        <v>0</v>
      </c>
      <c r="AI57" s="120"/>
      <c r="AJ57" s="103">
        <f t="shared" si="9"/>
        <v>0</v>
      </c>
      <c r="AK57" s="103">
        <f t="shared" si="10"/>
        <v>0</v>
      </c>
      <c r="AL57" s="103">
        <f t="shared" si="11"/>
        <v>0</v>
      </c>
      <c r="AN57" s="103">
        <v>21</v>
      </c>
      <c r="AO57" s="103">
        <f>K57*0.147533425541724</f>
        <v>0</v>
      </c>
      <c r="AP57" s="103">
        <f>K57*(1-0.147533425541724)</f>
        <v>0</v>
      </c>
      <c r="AQ57" s="138" t="s">
        <v>162</v>
      </c>
      <c r="AV57" s="103">
        <f t="shared" si="12"/>
        <v>0</v>
      </c>
      <c r="AW57" s="103">
        <f t="shared" si="13"/>
        <v>0</v>
      </c>
      <c r="AX57" s="103">
        <f t="shared" si="14"/>
        <v>0</v>
      </c>
      <c r="AY57" s="138" t="s">
        <v>239</v>
      </c>
      <c r="AZ57" s="138" t="s">
        <v>240</v>
      </c>
      <c r="BA57" s="120" t="s">
        <v>143</v>
      </c>
      <c r="BC57" s="103">
        <f t="shared" si="15"/>
        <v>0</v>
      </c>
      <c r="BD57" s="103">
        <f t="shared" si="16"/>
        <v>0</v>
      </c>
      <c r="BE57" s="103">
        <v>0</v>
      </c>
      <c r="BF57" s="103">
        <f>57</f>
        <v>57</v>
      </c>
      <c r="BH57" s="103">
        <f t="shared" si="17"/>
        <v>0</v>
      </c>
      <c r="BI57" s="103">
        <f t="shared" si="18"/>
        <v>0</v>
      </c>
      <c r="BJ57" s="103">
        <f t="shared" si="19"/>
        <v>0</v>
      </c>
      <c r="BK57" s="103" t="s">
        <v>144</v>
      </c>
      <c r="BL57" s="103">
        <v>721</v>
      </c>
    </row>
    <row r="58" spans="1:64" ht="21.75" customHeight="1">
      <c r="A58" s="104" t="s">
        <v>206</v>
      </c>
      <c r="B58" s="52" t="s">
        <v>274</v>
      </c>
      <c r="C58" s="52" t="s">
        <v>275</v>
      </c>
      <c r="D58" s="52"/>
      <c r="E58" s="52"/>
      <c r="F58" s="52"/>
      <c r="G58" s="52"/>
      <c r="H58" s="52"/>
      <c r="I58" s="52" t="s">
        <v>276</v>
      </c>
      <c r="J58" s="103">
        <v>1</v>
      </c>
      <c r="K58" s="136">
        <v>0</v>
      </c>
      <c r="L58" s="103">
        <f t="shared" si="0"/>
        <v>0</v>
      </c>
      <c r="M58" s="137" t="s">
        <v>140</v>
      </c>
      <c r="N58" s="86"/>
      <c r="Z58" s="103">
        <f t="shared" si="1"/>
        <v>0</v>
      </c>
      <c r="AB58" s="103">
        <f t="shared" si="2"/>
        <v>0</v>
      </c>
      <c r="AC58" s="103">
        <f t="shared" si="3"/>
        <v>0</v>
      </c>
      <c r="AD58" s="103">
        <f t="shared" si="4"/>
        <v>0</v>
      </c>
      <c r="AE58" s="103">
        <f t="shared" si="5"/>
        <v>0</v>
      </c>
      <c r="AF58" s="103">
        <f t="shared" si="6"/>
        <v>0</v>
      </c>
      <c r="AG58" s="103">
        <f t="shared" si="7"/>
        <v>0</v>
      </c>
      <c r="AH58" s="103">
        <f t="shared" si="8"/>
        <v>0</v>
      </c>
      <c r="AI58" s="120"/>
      <c r="AJ58" s="103">
        <f t="shared" si="9"/>
        <v>0</v>
      </c>
      <c r="AK58" s="103">
        <f t="shared" si="10"/>
        <v>0</v>
      </c>
      <c r="AL58" s="103">
        <f t="shared" si="11"/>
        <v>0</v>
      </c>
      <c r="AN58" s="103">
        <v>21</v>
      </c>
      <c r="AO58" s="103">
        <f>K58*0.870659400115673</f>
        <v>0</v>
      </c>
      <c r="AP58" s="103">
        <f>K58*(1-0.870659400115673)</f>
        <v>0</v>
      </c>
      <c r="AQ58" s="138" t="s">
        <v>162</v>
      </c>
      <c r="AV58" s="103">
        <f t="shared" si="12"/>
        <v>0</v>
      </c>
      <c r="AW58" s="103">
        <f t="shared" si="13"/>
        <v>0</v>
      </c>
      <c r="AX58" s="103">
        <f t="shared" si="14"/>
        <v>0</v>
      </c>
      <c r="AY58" s="138" t="s">
        <v>239</v>
      </c>
      <c r="AZ58" s="138" t="s">
        <v>240</v>
      </c>
      <c r="BA58" s="120" t="s">
        <v>143</v>
      </c>
      <c r="BC58" s="103">
        <f t="shared" si="15"/>
        <v>0</v>
      </c>
      <c r="BD58" s="103">
        <f t="shared" si="16"/>
        <v>0</v>
      </c>
      <c r="BE58" s="103">
        <v>0</v>
      </c>
      <c r="BF58" s="103">
        <f>58</f>
        <v>58</v>
      </c>
      <c r="BH58" s="103">
        <f t="shared" si="17"/>
        <v>0</v>
      </c>
      <c r="BI58" s="103">
        <f t="shared" si="18"/>
        <v>0</v>
      </c>
      <c r="BJ58" s="103">
        <f t="shared" si="19"/>
        <v>0</v>
      </c>
      <c r="BK58" s="103" t="s">
        <v>144</v>
      </c>
      <c r="BL58" s="103">
        <v>721</v>
      </c>
    </row>
    <row r="59" spans="1:64" ht="21.75" customHeight="1">
      <c r="A59" s="104" t="s">
        <v>277</v>
      </c>
      <c r="B59" s="52" t="s">
        <v>278</v>
      </c>
      <c r="C59" s="52" t="s">
        <v>279</v>
      </c>
      <c r="D59" s="52"/>
      <c r="E59" s="52"/>
      <c r="F59" s="52"/>
      <c r="G59" s="52"/>
      <c r="H59" s="52"/>
      <c r="I59" s="52" t="s">
        <v>276</v>
      </c>
      <c r="J59" s="103">
        <v>1</v>
      </c>
      <c r="K59" s="136">
        <v>0</v>
      </c>
      <c r="L59" s="103">
        <f t="shared" si="0"/>
        <v>0</v>
      </c>
      <c r="M59" s="137"/>
      <c r="N59" s="86"/>
      <c r="Z59" s="103">
        <f t="shared" si="1"/>
        <v>0</v>
      </c>
      <c r="AB59" s="103">
        <f t="shared" si="2"/>
        <v>0</v>
      </c>
      <c r="AC59" s="103">
        <f t="shared" si="3"/>
        <v>0</v>
      </c>
      <c r="AD59" s="103">
        <f t="shared" si="4"/>
        <v>0</v>
      </c>
      <c r="AE59" s="103">
        <f t="shared" si="5"/>
        <v>0</v>
      </c>
      <c r="AF59" s="103">
        <f t="shared" si="6"/>
        <v>0</v>
      </c>
      <c r="AG59" s="103">
        <f t="shared" si="7"/>
        <v>0</v>
      </c>
      <c r="AH59" s="103">
        <f t="shared" si="8"/>
        <v>0</v>
      </c>
      <c r="AI59" s="120"/>
      <c r="AJ59" s="103">
        <f t="shared" si="9"/>
        <v>0</v>
      </c>
      <c r="AK59" s="103">
        <f t="shared" si="10"/>
        <v>0</v>
      </c>
      <c r="AL59" s="103">
        <f t="shared" si="11"/>
        <v>0</v>
      </c>
      <c r="AN59" s="103">
        <v>21</v>
      </c>
      <c r="AO59" s="103">
        <f>K59*0.0769230769230769</f>
        <v>0</v>
      </c>
      <c r="AP59" s="103">
        <f>K59*(1-0.0769230769230769)</f>
        <v>0</v>
      </c>
      <c r="AQ59" s="138" t="s">
        <v>162</v>
      </c>
      <c r="AV59" s="103">
        <f t="shared" si="12"/>
        <v>0</v>
      </c>
      <c r="AW59" s="103">
        <f t="shared" si="13"/>
        <v>0</v>
      </c>
      <c r="AX59" s="103">
        <f t="shared" si="14"/>
        <v>0</v>
      </c>
      <c r="AY59" s="138" t="s">
        <v>239</v>
      </c>
      <c r="AZ59" s="138" t="s">
        <v>240</v>
      </c>
      <c r="BA59" s="120" t="s">
        <v>143</v>
      </c>
      <c r="BC59" s="103">
        <f t="shared" si="15"/>
        <v>0</v>
      </c>
      <c r="BD59" s="103">
        <f t="shared" si="16"/>
        <v>0</v>
      </c>
      <c r="BE59" s="103">
        <v>0</v>
      </c>
      <c r="BF59" s="103">
        <f>59</f>
        <v>59</v>
      </c>
      <c r="BH59" s="103">
        <f t="shared" si="17"/>
        <v>0</v>
      </c>
      <c r="BI59" s="103">
        <f t="shared" si="18"/>
        <v>0</v>
      </c>
      <c r="BJ59" s="103">
        <f t="shared" si="19"/>
        <v>0</v>
      </c>
      <c r="BK59" s="103" t="s">
        <v>144</v>
      </c>
      <c r="BL59" s="103">
        <v>721</v>
      </c>
    </row>
    <row r="60" spans="1:64" ht="21.75" customHeight="1">
      <c r="A60" s="104" t="s">
        <v>280</v>
      </c>
      <c r="B60" s="52" t="s">
        <v>281</v>
      </c>
      <c r="C60" s="52" t="s">
        <v>282</v>
      </c>
      <c r="D60" s="52"/>
      <c r="E60" s="52"/>
      <c r="F60" s="52"/>
      <c r="G60" s="52"/>
      <c r="H60" s="52"/>
      <c r="I60" s="52" t="s">
        <v>276</v>
      </c>
      <c r="J60" s="103">
        <v>1</v>
      </c>
      <c r="K60" s="136">
        <v>0</v>
      </c>
      <c r="L60" s="103">
        <f t="shared" si="0"/>
        <v>0</v>
      </c>
      <c r="M60" s="137"/>
      <c r="N60" s="86"/>
      <c r="Z60" s="103">
        <f t="shared" si="1"/>
        <v>0</v>
      </c>
      <c r="AB60" s="103">
        <f t="shared" si="2"/>
        <v>0</v>
      </c>
      <c r="AC60" s="103">
        <f t="shared" si="3"/>
        <v>0</v>
      </c>
      <c r="AD60" s="103">
        <f t="shared" si="4"/>
        <v>0</v>
      </c>
      <c r="AE60" s="103">
        <f t="shared" si="5"/>
        <v>0</v>
      </c>
      <c r="AF60" s="103">
        <f t="shared" si="6"/>
        <v>0</v>
      </c>
      <c r="AG60" s="103">
        <f t="shared" si="7"/>
        <v>0</v>
      </c>
      <c r="AH60" s="103">
        <f t="shared" si="8"/>
        <v>0</v>
      </c>
      <c r="AI60" s="120"/>
      <c r="AJ60" s="103">
        <f t="shared" si="9"/>
        <v>0</v>
      </c>
      <c r="AK60" s="103">
        <f t="shared" si="10"/>
        <v>0</v>
      </c>
      <c r="AL60" s="103">
        <f t="shared" si="11"/>
        <v>0</v>
      </c>
      <c r="AN60" s="103">
        <v>21</v>
      </c>
      <c r="AO60" s="103">
        <f>K60*0.0588235294117647</f>
        <v>0</v>
      </c>
      <c r="AP60" s="103">
        <f>K60*(1-0.0588235294117647)</f>
        <v>0</v>
      </c>
      <c r="AQ60" s="138" t="s">
        <v>162</v>
      </c>
      <c r="AV60" s="103">
        <f t="shared" si="12"/>
        <v>0</v>
      </c>
      <c r="AW60" s="103">
        <f t="shared" si="13"/>
        <v>0</v>
      </c>
      <c r="AX60" s="103">
        <f t="shared" si="14"/>
        <v>0</v>
      </c>
      <c r="AY60" s="138" t="s">
        <v>239</v>
      </c>
      <c r="AZ60" s="138" t="s">
        <v>240</v>
      </c>
      <c r="BA60" s="120" t="s">
        <v>143</v>
      </c>
      <c r="BC60" s="103">
        <f t="shared" si="15"/>
        <v>0</v>
      </c>
      <c r="BD60" s="103">
        <f t="shared" si="16"/>
        <v>0</v>
      </c>
      <c r="BE60" s="103">
        <v>0</v>
      </c>
      <c r="BF60" s="103">
        <f>60</f>
        <v>60</v>
      </c>
      <c r="BH60" s="103">
        <f t="shared" si="17"/>
        <v>0</v>
      </c>
      <c r="BI60" s="103">
        <f t="shared" si="18"/>
        <v>0</v>
      </c>
      <c r="BJ60" s="103">
        <f t="shared" si="19"/>
        <v>0</v>
      </c>
      <c r="BK60" s="103" t="s">
        <v>144</v>
      </c>
      <c r="BL60" s="103">
        <v>721</v>
      </c>
    </row>
    <row r="61" spans="1:47" ht="21.75" customHeight="1">
      <c r="A61" s="131"/>
      <c r="B61" s="132" t="s">
        <v>283</v>
      </c>
      <c r="C61" s="132" t="s">
        <v>234</v>
      </c>
      <c r="D61" s="132"/>
      <c r="E61" s="132"/>
      <c r="F61" s="132"/>
      <c r="G61" s="132"/>
      <c r="H61" s="132"/>
      <c r="I61" s="133" t="s">
        <v>76</v>
      </c>
      <c r="J61" s="133" t="s">
        <v>76</v>
      </c>
      <c r="K61" s="133" t="s">
        <v>76</v>
      </c>
      <c r="L61" s="134">
        <f>SUM(L62:L62)</f>
        <v>0</v>
      </c>
      <c r="M61" s="135"/>
      <c r="N61" s="86"/>
      <c r="AI61" s="120"/>
      <c r="AS61" s="134">
        <f>SUM(AJ62:AJ62)</f>
        <v>0</v>
      </c>
      <c r="AT61" s="134">
        <f>SUM(AK62:AK62)</f>
        <v>0</v>
      </c>
      <c r="AU61" s="134">
        <f>SUM(AL62:AL62)</f>
        <v>0</v>
      </c>
    </row>
    <row r="62" spans="1:64" ht="21.75" customHeight="1">
      <c r="A62" s="104" t="s">
        <v>284</v>
      </c>
      <c r="B62" s="52" t="s">
        <v>285</v>
      </c>
      <c r="C62" s="52" t="s">
        <v>286</v>
      </c>
      <c r="D62" s="52"/>
      <c r="E62" s="52"/>
      <c r="F62" s="52"/>
      <c r="G62" s="52"/>
      <c r="H62" s="52"/>
      <c r="I62" s="52" t="s">
        <v>276</v>
      </c>
      <c r="J62" s="103">
        <v>1</v>
      </c>
      <c r="K62" s="136">
        <v>0</v>
      </c>
      <c r="L62" s="103">
        <f>J62*K62</f>
        <v>0</v>
      </c>
      <c r="M62" s="137" t="s">
        <v>140</v>
      </c>
      <c r="N62" s="86"/>
      <c r="Z62" s="103">
        <f>IF(AQ62="5",BJ62,0)</f>
        <v>0</v>
      </c>
      <c r="AB62" s="103">
        <f>IF(AQ62="1",BH62,0)</f>
        <v>0</v>
      </c>
      <c r="AC62" s="103">
        <f>IF(AQ62="1",BI62,0)</f>
        <v>0</v>
      </c>
      <c r="AD62" s="103">
        <f>IF(AQ62="7",BH62,0)</f>
        <v>0</v>
      </c>
      <c r="AE62" s="103">
        <f>IF(AQ62="7",BI62,0)</f>
        <v>0</v>
      </c>
      <c r="AF62" s="103">
        <f>IF(AQ62="2",BH62,0)</f>
        <v>0</v>
      </c>
      <c r="AG62" s="103">
        <f>IF(AQ62="2",BI62,0)</f>
        <v>0</v>
      </c>
      <c r="AH62" s="103">
        <f>IF(AQ62="0",BJ62,0)</f>
        <v>0</v>
      </c>
      <c r="AI62" s="120"/>
      <c r="AJ62" s="103">
        <f>IF(AN62=0,L62,0)</f>
        <v>0</v>
      </c>
      <c r="AK62" s="103">
        <f>IF(AN62=15,L62,0)</f>
        <v>0</v>
      </c>
      <c r="AL62" s="103">
        <f>IF(AN62=21,L62,0)</f>
        <v>0</v>
      </c>
      <c r="AN62" s="103">
        <v>21</v>
      </c>
      <c r="AO62" s="103">
        <f>K62*0.551764727520185</f>
        <v>0</v>
      </c>
      <c r="AP62" s="103">
        <f>K62*(1-0.551764727520185)</f>
        <v>0</v>
      </c>
      <c r="AQ62" s="138" t="s">
        <v>162</v>
      </c>
      <c r="AV62" s="103">
        <f>AW62+AX62</f>
        <v>0</v>
      </c>
      <c r="AW62" s="103">
        <f>J62*AO62</f>
        <v>0</v>
      </c>
      <c r="AX62" s="103">
        <f>J62*AP62</f>
        <v>0</v>
      </c>
      <c r="AY62" s="138" t="s">
        <v>287</v>
      </c>
      <c r="AZ62" s="138" t="s">
        <v>240</v>
      </c>
      <c r="BA62" s="120" t="s">
        <v>143</v>
      </c>
      <c r="BC62" s="103">
        <f>AW62+AX62</f>
        <v>0</v>
      </c>
      <c r="BD62" s="103">
        <f>K62/(100-BE62)*100</f>
        <v>0</v>
      </c>
      <c r="BE62" s="103">
        <v>0</v>
      </c>
      <c r="BF62" s="103">
        <f>62</f>
        <v>62</v>
      </c>
      <c r="BH62" s="103">
        <f>J62*AO62</f>
        <v>0</v>
      </c>
      <c r="BI62" s="103">
        <f>J62*AP62</f>
        <v>0</v>
      </c>
      <c r="BJ62" s="103">
        <f>J62*K62</f>
        <v>0</v>
      </c>
      <c r="BK62" s="103" t="s">
        <v>144</v>
      </c>
      <c r="BL62" s="103">
        <v>723</v>
      </c>
    </row>
    <row r="63" spans="1:47" ht="21.75" customHeight="1">
      <c r="A63" s="131"/>
      <c r="B63" s="132" t="s">
        <v>288</v>
      </c>
      <c r="C63" s="132" t="s">
        <v>289</v>
      </c>
      <c r="D63" s="132"/>
      <c r="E63" s="132"/>
      <c r="F63" s="132"/>
      <c r="G63" s="132"/>
      <c r="H63" s="132"/>
      <c r="I63" s="133" t="s">
        <v>76</v>
      </c>
      <c r="J63" s="133" t="s">
        <v>76</v>
      </c>
      <c r="K63" s="133" t="s">
        <v>76</v>
      </c>
      <c r="L63" s="134">
        <f>SUM(L64:L68)</f>
        <v>0</v>
      </c>
      <c r="M63" s="135"/>
      <c r="N63" s="86"/>
      <c r="AI63" s="120"/>
      <c r="AS63" s="134">
        <f>SUM(AJ64:AJ68)</f>
        <v>0</v>
      </c>
      <c r="AT63" s="134">
        <f>SUM(AK64:AK68)</f>
        <v>0</v>
      </c>
      <c r="AU63" s="134">
        <f>SUM(AL64:AL68)</f>
        <v>0</v>
      </c>
    </row>
    <row r="64" spans="1:64" ht="21.75" customHeight="1">
      <c r="A64" s="104" t="s">
        <v>290</v>
      </c>
      <c r="B64" s="52" t="s">
        <v>291</v>
      </c>
      <c r="C64" s="52" t="s">
        <v>292</v>
      </c>
      <c r="D64" s="52"/>
      <c r="E64" s="52"/>
      <c r="F64" s="52"/>
      <c r="G64" s="52"/>
      <c r="H64" s="52"/>
      <c r="I64" s="52" t="s">
        <v>165</v>
      </c>
      <c r="J64" s="103">
        <v>76.24</v>
      </c>
      <c r="K64" s="136">
        <v>0</v>
      </c>
      <c r="L64" s="103">
        <f>J64*K64</f>
        <v>0</v>
      </c>
      <c r="M64" s="137" t="s">
        <v>140</v>
      </c>
      <c r="N64" s="86"/>
      <c r="Z64" s="103">
        <f>IF(AQ64="5",BJ64,0)</f>
        <v>0</v>
      </c>
      <c r="AB64" s="103">
        <f>IF(AQ64="1",BH64,0)</f>
        <v>0</v>
      </c>
      <c r="AC64" s="103">
        <f>IF(AQ64="1",BI64,0)</f>
        <v>0</v>
      </c>
      <c r="AD64" s="103">
        <f>IF(AQ64="7",BH64,0)</f>
        <v>0</v>
      </c>
      <c r="AE64" s="103">
        <f>IF(AQ64="7",BI64,0)</f>
        <v>0</v>
      </c>
      <c r="AF64" s="103">
        <f>IF(AQ64="2",BH64,0)</f>
        <v>0</v>
      </c>
      <c r="AG64" s="103">
        <f>IF(AQ64="2",BI64,0)</f>
        <v>0</v>
      </c>
      <c r="AH64" s="103">
        <f>IF(AQ64="0",BJ64,0)</f>
        <v>0</v>
      </c>
      <c r="AI64" s="120"/>
      <c r="AJ64" s="103">
        <f>IF(AN64=0,L64,0)</f>
        <v>0</v>
      </c>
      <c r="AK64" s="103">
        <f>IF(AN64=15,L64,0)</f>
        <v>0</v>
      </c>
      <c r="AL64" s="103">
        <f>IF(AN64=21,L64,0)</f>
        <v>0</v>
      </c>
      <c r="AN64" s="103">
        <v>21</v>
      </c>
      <c r="AO64" s="103">
        <f>K64*0</f>
        <v>0</v>
      </c>
      <c r="AP64" s="103">
        <f>K64*(1-0)</f>
        <v>0</v>
      </c>
      <c r="AQ64" s="138" t="s">
        <v>162</v>
      </c>
      <c r="AV64" s="103">
        <f>AW64+AX64</f>
        <v>0</v>
      </c>
      <c r="AW64" s="103">
        <f>J64*AO64</f>
        <v>0</v>
      </c>
      <c r="AX64" s="103">
        <f>J64*AP64</f>
        <v>0</v>
      </c>
      <c r="AY64" s="138" t="s">
        <v>293</v>
      </c>
      <c r="AZ64" s="138" t="s">
        <v>294</v>
      </c>
      <c r="BA64" s="120" t="s">
        <v>143</v>
      </c>
      <c r="BC64" s="103">
        <f>AW64+AX64</f>
        <v>0</v>
      </c>
      <c r="BD64" s="103">
        <f>K64/(100-BE64)*100</f>
        <v>0</v>
      </c>
      <c r="BE64" s="103">
        <v>0</v>
      </c>
      <c r="BF64" s="103">
        <f>64</f>
        <v>64</v>
      </c>
      <c r="BH64" s="103">
        <f>J64*AO64</f>
        <v>0</v>
      </c>
      <c r="BI64" s="103">
        <f>J64*AP64</f>
        <v>0</v>
      </c>
      <c r="BJ64" s="103">
        <f>J64*K64</f>
        <v>0</v>
      </c>
      <c r="BK64" s="103" t="s">
        <v>144</v>
      </c>
      <c r="BL64" s="103">
        <v>784</v>
      </c>
    </row>
    <row r="65" spans="1:64" ht="21.75" customHeight="1">
      <c r="A65" s="104" t="s">
        <v>295</v>
      </c>
      <c r="B65" s="52" t="s">
        <v>296</v>
      </c>
      <c r="C65" s="52" t="s">
        <v>297</v>
      </c>
      <c r="D65" s="52"/>
      <c r="E65" s="52"/>
      <c r="F65" s="52"/>
      <c r="G65" s="52"/>
      <c r="H65" s="52"/>
      <c r="I65" s="52" t="s">
        <v>238</v>
      </c>
      <c r="J65" s="103">
        <v>20</v>
      </c>
      <c r="K65" s="136">
        <v>0</v>
      </c>
      <c r="L65" s="103">
        <f>J65*K65</f>
        <v>0</v>
      </c>
      <c r="M65" s="137" t="s">
        <v>140</v>
      </c>
      <c r="N65" s="86"/>
      <c r="Z65" s="103">
        <f>IF(AQ65="5",BJ65,0)</f>
        <v>0</v>
      </c>
      <c r="AB65" s="103">
        <f>IF(AQ65="1",BH65,0)</f>
        <v>0</v>
      </c>
      <c r="AC65" s="103">
        <f>IF(AQ65="1",BI65,0)</f>
        <v>0</v>
      </c>
      <c r="AD65" s="103">
        <f>IF(AQ65="7",BH65,0)</f>
        <v>0</v>
      </c>
      <c r="AE65" s="103">
        <f>IF(AQ65="7",BI65,0)</f>
        <v>0</v>
      </c>
      <c r="AF65" s="103">
        <f>IF(AQ65="2",BH65,0)</f>
        <v>0</v>
      </c>
      <c r="AG65" s="103">
        <f>IF(AQ65="2",BI65,0)</f>
        <v>0</v>
      </c>
      <c r="AH65" s="103">
        <f>IF(AQ65="0",BJ65,0)</f>
        <v>0</v>
      </c>
      <c r="AI65" s="120"/>
      <c r="AJ65" s="103">
        <f>IF(AN65=0,L65,0)</f>
        <v>0</v>
      </c>
      <c r="AK65" s="103">
        <f>IF(AN65=15,L65,0)</f>
        <v>0</v>
      </c>
      <c r="AL65" s="103">
        <f>IF(AN65=21,L65,0)</f>
        <v>0</v>
      </c>
      <c r="AN65" s="103">
        <v>21</v>
      </c>
      <c r="AO65" s="103">
        <f>K65*0.116627265563436</f>
        <v>0</v>
      </c>
      <c r="AP65" s="103">
        <f>K65*(1-0.116627265563436)</f>
        <v>0</v>
      </c>
      <c r="AQ65" s="138" t="s">
        <v>162</v>
      </c>
      <c r="AV65" s="103">
        <f>AW65+AX65</f>
        <v>0</v>
      </c>
      <c r="AW65" s="103">
        <f>J65*AO65</f>
        <v>0</v>
      </c>
      <c r="AX65" s="103">
        <f>J65*AP65</f>
        <v>0</v>
      </c>
      <c r="AY65" s="138" t="s">
        <v>293</v>
      </c>
      <c r="AZ65" s="138" t="s">
        <v>294</v>
      </c>
      <c r="BA65" s="120" t="s">
        <v>143</v>
      </c>
      <c r="BC65" s="103">
        <f>AW65+AX65</f>
        <v>0</v>
      </c>
      <c r="BD65" s="103">
        <f>K65/(100-BE65)*100</f>
        <v>0</v>
      </c>
      <c r="BE65" s="103">
        <v>0</v>
      </c>
      <c r="BF65" s="103">
        <f>65</f>
        <v>65</v>
      </c>
      <c r="BH65" s="103">
        <f>J65*AO65</f>
        <v>0</v>
      </c>
      <c r="BI65" s="103">
        <f>J65*AP65</f>
        <v>0</v>
      </c>
      <c r="BJ65" s="103">
        <f>J65*K65</f>
        <v>0</v>
      </c>
      <c r="BK65" s="103" t="s">
        <v>144</v>
      </c>
      <c r="BL65" s="103">
        <v>784</v>
      </c>
    </row>
    <row r="66" spans="1:64" ht="21.75" customHeight="1">
      <c r="A66" s="104" t="s">
        <v>298</v>
      </c>
      <c r="B66" s="52" t="s">
        <v>299</v>
      </c>
      <c r="C66" s="52" t="s">
        <v>300</v>
      </c>
      <c r="D66" s="52"/>
      <c r="E66" s="52"/>
      <c r="F66" s="52"/>
      <c r="G66" s="52"/>
      <c r="H66" s="52"/>
      <c r="I66" s="52" t="s">
        <v>165</v>
      </c>
      <c r="J66" s="103">
        <v>60</v>
      </c>
      <c r="K66" s="136">
        <v>0</v>
      </c>
      <c r="L66" s="103">
        <f>J66*K66</f>
        <v>0</v>
      </c>
      <c r="M66" s="137" t="s">
        <v>140</v>
      </c>
      <c r="N66" s="86"/>
      <c r="Z66" s="103">
        <f>IF(AQ66="5",BJ66,0)</f>
        <v>0</v>
      </c>
      <c r="AB66" s="103">
        <f>IF(AQ66="1",BH66,0)</f>
        <v>0</v>
      </c>
      <c r="AC66" s="103">
        <f>IF(AQ66="1",BI66,0)</f>
        <v>0</v>
      </c>
      <c r="AD66" s="103">
        <f>IF(AQ66="7",BH66,0)</f>
        <v>0</v>
      </c>
      <c r="AE66" s="103">
        <f>IF(AQ66="7",BI66,0)</f>
        <v>0</v>
      </c>
      <c r="AF66" s="103">
        <f>IF(AQ66="2",BH66,0)</f>
        <v>0</v>
      </c>
      <c r="AG66" s="103">
        <f>IF(AQ66="2",BI66,0)</f>
        <v>0</v>
      </c>
      <c r="AH66" s="103">
        <f>IF(AQ66="0",BJ66,0)</f>
        <v>0</v>
      </c>
      <c r="AI66" s="120"/>
      <c r="AJ66" s="103">
        <f>IF(AN66=0,L66,0)</f>
        <v>0</v>
      </c>
      <c r="AK66" s="103">
        <f>IF(AN66=15,L66,0)</f>
        <v>0</v>
      </c>
      <c r="AL66" s="103">
        <f>IF(AN66=21,L66,0)</f>
        <v>0</v>
      </c>
      <c r="AN66" s="103">
        <v>21</v>
      </c>
      <c r="AO66" s="103">
        <f>K66*0.411221853082318</f>
        <v>0</v>
      </c>
      <c r="AP66" s="103">
        <f>K66*(1-0.411221853082318)</f>
        <v>0</v>
      </c>
      <c r="AQ66" s="138" t="s">
        <v>162</v>
      </c>
      <c r="AV66" s="103">
        <f>AW66+AX66</f>
        <v>0</v>
      </c>
      <c r="AW66" s="103">
        <f>J66*AO66</f>
        <v>0</v>
      </c>
      <c r="AX66" s="103">
        <f>J66*AP66</f>
        <v>0</v>
      </c>
      <c r="AY66" s="138" t="s">
        <v>293</v>
      </c>
      <c r="AZ66" s="138" t="s">
        <v>294</v>
      </c>
      <c r="BA66" s="120" t="s">
        <v>143</v>
      </c>
      <c r="BC66" s="103">
        <f>AW66+AX66</f>
        <v>0</v>
      </c>
      <c r="BD66" s="103">
        <f>K66/(100-BE66)*100</f>
        <v>0</v>
      </c>
      <c r="BE66" s="103">
        <v>0</v>
      </c>
      <c r="BF66" s="103">
        <f>66</f>
        <v>66</v>
      </c>
      <c r="BH66" s="103">
        <f>J66*AO66</f>
        <v>0</v>
      </c>
      <c r="BI66" s="103">
        <f>J66*AP66</f>
        <v>0</v>
      </c>
      <c r="BJ66" s="103">
        <f>J66*K66</f>
        <v>0</v>
      </c>
      <c r="BK66" s="103" t="s">
        <v>144</v>
      </c>
      <c r="BL66" s="103">
        <v>784</v>
      </c>
    </row>
    <row r="67" spans="1:64" ht="21.75" customHeight="1">
      <c r="A67" s="104" t="s">
        <v>301</v>
      </c>
      <c r="B67" s="52" t="s">
        <v>302</v>
      </c>
      <c r="C67" s="52" t="s">
        <v>303</v>
      </c>
      <c r="D67" s="52"/>
      <c r="E67" s="52"/>
      <c r="F67" s="52"/>
      <c r="G67" s="52"/>
      <c r="H67" s="52"/>
      <c r="I67" s="52" t="s">
        <v>165</v>
      </c>
      <c r="J67" s="103">
        <v>60</v>
      </c>
      <c r="K67" s="136">
        <v>0</v>
      </c>
      <c r="L67" s="103">
        <f>J67*K67</f>
        <v>0</v>
      </c>
      <c r="M67" s="137" t="s">
        <v>140</v>
      </c>
      <c r="N67" s="86"/>
      <c r="Z67" s="103">
        <f>IF(AQ67="5",BJ67,0)</f>
        <v>0</v>
      </c>
      <c r="AB67" s="103">
        <f>IF(AQ67="1",BH67,0)</f>
        <v>0</v>
      </c>
      <c r="AC67" s="103">
        <f>IF(AQ67="1",BI67,0)</f>
        <v>0</v>
      </c>
      <c r="AD67" s="103">
        <f>IF(AQ67="7",BH67,0)</f>
        <v>0</v>
      </c>
      <c r="AE67" s="103">
        <f>IF(AQ67="7",BI67,0)</f>
        <v>0</v>
      </c>
      <c r="AF67" s="103">
        <f>IF(AQ67="2",BH67,0)</f>
        <v>0</v>
      </c>
      <c r="AG67" s="103">
        <f>IF(AQ67="2",BI67,0)</f>
        <v>0</v>
      </c>
      <c r="AH67" s="103">
        <f>IF(AQ67="0",BJ67,0)</f>
        <v>0</v>
      </c>
      <c r="AI67" s="120"/>
      <c r="AJ67" s="103">
        <f>IF(AN67=0,L67,0)</f>
        <v>0</v>
      </c>
      <c r="AK67" s="103">
        <f>IF(AN67=15,L67,0)</f>
        <v>0</v>
      </c>
      <c r="AL67" s="103">
        <f>IF(AN67=21,L67,0)</f>
        <v>0</v>
      </c>
      <c r="AN67" s="103">
        <v>21</v>
      </c>
      <c r="AO67" s="103">
        <f>K67*0.247752808988764</f>
        <v>0</v>
      </c>
      <c r="AP67" s="103">
        <f>K67*(1-0.247752808988764)</f>
        <v>0</v>
      </c>
      <c r="AQ67" s="138" t="s">
        <v>162</v>
      </c>
      <c r="AV67" s="103">
        <f>AW67+AX67</f>
        <v>0</v>
      </c>
      <c r="AW67" s="103">
        <f>J67*AO67</f>
        <v>0</v>
      </c>
      <c r="AX67" s="103">
        <f>J67*AP67</f>
        <v>0</v>
      </c>
      <c r="AY67" s="138" t="s">
        <v>293</v>
      </c>
      <c r="AZ67" s="138" t="s">
        <v>294</v>
      </c>
      <c r="BA67" s="120" t="s">
        <v>143</v>
      </c>
      <c r="BC67" s="103">
        <f>AW67+AX67</f>
        <v>0</v>
      </c>
      <c r="BD67" s="103">
        <f>K67/(100-BE67)*100</f>
        <v>0</v>
      </c>
      <c r="BE67" s="103">
        <v>0</v>
      </c>
      <c r="BF67" s="103">
        <f>67</f>
        <v>67</v>
      </c>
      <c r="BH67" s="103">
        <f>J67*AO67</f>
        <v>0</v>
      </c>
      <c r="BI67" s="103">
        <f>J67*AP67</f>
        <v>0</v>
      </c>
      <c r="BJ67" s="103">
        <f>J67*K67</f>
        <v>0</v>
      </c>
      <c r="BK67" s="103" t="s">
        <v>144</v>
      </c>
      <c r="BL67" s="103">
        <v>784</v>
      </c>
    </row>
    <row r="68" spans="1:64" ht="21.75" customHeight="1">
      <c r="A68" s="104" t="s">
        <v>304</v>
      </c>
      <c r="B68" s="52" t="s">
        <v>305</v>
      </c>
      <c r="C68" s="52" t="s">
        <v>306</v>
      </c>
      <c r="D68" s="52"/>
      <c r="E68" s="52"/>
      <c r="F68" s="52"/>
      <c r="G68" s="52"/>
      <c r="H68" s="52"/>
      <c r="I68" s="52" t="s">
        <v>165</v>
      </c>
      <c r="J68" s="103">
        <v>60</v>
      </c>
      <c r="K68" s="136">
        <v>0</v>
      </c>
      <c r="L68" s="103">
        <f>J68*K68</f>
        <v>0</v>
      </c>
      <c r="M68" s="137" t="s">
        <v>140</v>
      </c>
      <c r="N68" s="86"/>
      <c r="Z68" s="103">
        <f>IF(AQ68="5",BJ68,0)</f>
        <v>0</v>
      </c>
      <c r="AB68" s="103">
        <f>IF(AQ68="1",BH68,0)</f>
        <v>0</v>
      </c>
      <c r="AC68" s="103">
        <f>IF(AQ68="1",BI68,0)</f>
        <v>0</v>
      </c>
      <c r="AD68" s="103">
        <f>IF(AQ68="7",BH68,0)</f>
        <v>0</v>
      </c>
      <c r="AE68" s="103">
        <f>IF(AQ68="7",BI68,0)</f>
        <v>0</v>
      </c>
      <c r="AF68" s="103">
        <f>IF(AQ68="2",BH68,0)</f>
        <v>0</v>
      </c>
      <c r="AG68" s="103">
        <f>IF(AQ68="2",BI68,0)</f>
        <v>0</v>
      </c>
      <c r="AH68" s="103">
        <f>IF(AQ68="0",BJ68,0)</f>
        <v>0</v>
      </c>
      <c r="AI68" s="120"/>
      <c r="AJ68" s="103">
        <f>IF(AN68=0,L68,0)</f>
        <v>0</v>
      </c>
      <c r="AK68" s="103">
        <f>IF(AN68=15,L68,0)</f>
        <v>0</v>
      </c>
      <c r="AL68" s="103">
        <f>IF(AN68=21,L68,0)</f>
        <v>0</v>
      </c>
      <c r="AN68" s="103">
        <v>21</v>
      </c>
      <c r="AO68" s="103">
        <f>K68*0.00271084337349398</f>
        <v>0</v>
      </c>
      <c r="AP68" s="103">
        <f>K68*(1-0.00271084337349398)</f>
        <v>0</v>
      </c>
      <c r="AQ68" s="138" t="s">
        <v>162</v>
      </c>
      <c r="AV68" s="103">
        <f>AW68+AX68</f>
        <v>0</v>
      </c>
      <c r="AW68" s="103">
        <f>J68*AO68</f>
        <v>0</v>
      </c>
      <c r="AX68" s="103">
        <f>J68*AP68</f>
        <v>0</v>
      </c>
      <c r="AY68" s="138" t="s">
        <v>293</v>
      </c>
      <c r="AZ68" s="138" t="s">
        <v>294</v>
      </c>
      <c r="BA68" s="120" t="s">
        <v>143</v>
      </c>
      <c r="BC68" s="103">
        <f>AW68+AX68</f>
        <v>0</v>
      </c>
      <c r="BD68" s="103">
        <f>K68/(100-BE68)*100</f>
        <v>0</v>
      </c>
      <c r="BE68" s="103">
        <v>0</v>
      </c>
      <c r="BF68" s="103">
        <f>68</f>
        <v>68</v>
      </c>
      <c r="BH68" s="103">
        <f>J68*AO68</f>
        <v>0</v>
      </c>
      <c r="BI68" s="103">
        <f>J68*AP68</f>
        <v>0</v>
      </c>
      <c r="BJ68" s="103">
        <f>J68*K68</f>
        <v>0</v>
      </c>
      <c r="BK68" s="103" t="s">
        <v>144</v>
      </c>
      <c r="BL68" s="103">
        <v>784</v>
      </c>
    </row>
    <row r="69" spans="1:47" ht="21.75" customHeight="1">
      <c r="A69" s="131"/>
      <c r="B69" s="132" t="s">
        <v>307</v>
      </c>
      <c r="C69" s="132" t="s">
        <v>308</v>
      </c>
      <c r="D69" s="132"/>
      <c r="E69" s="132"/>
      <c r="F69" s="132"/>
      <c r="G69" s="132"/>
      <c r="H69" s="132"/>
      <c r="I69" s="133" t="s">
        <v>76</v>
      </c>
      <c r="J69" s="133" t="s">
        <v>76</v>
      </c>
      <c r="K69" s="133" t="s">
        <v>76</v>
      </c>
      <c r="L69" s="134">
        <f>SUM(L70:L70)</f>
        <v>0</v>
      </c>
      <c r="M69" s="135"/>
      <c r="N69" s="86"/>
      <c r="AI69" s="120"/>
      <c r="AS69" s="134">
        <f>SUM(AJ70:AJ70)</f>
        <v>0</v>
      </c>
      <c r="AT69" s="134">
        <f>SUM(AK70:AK70)</f>
        <v>0</v>
      </c>
      <c r="AU69" s="134">
        <f>SUM(AL70:AL70)</f>
        <v>0</v>
      </c>
    </row>
    <row r="70" spans="1:64" ht="21.75" customHeight="1">
      <c r="A70" s="104" t="s">
        <v>309</v>
      </c>
      <c r="B70" s="52" t="s">
        <v>310</v>
      </c>
      <c r="C70" s="52" t="s">
        <v>311</v>
      </c>
      <c r="D70" s="52"/>
      <c r="E70" s="52"/>
      <c r="F70" s="52"/>
      <c r="G70" s="52"/>
      <c r="H70" s="52"/>
      <c r="I70" s="52" t="s">
        <v>139</v>
      </c>
      <c r="J70" s="103">
        <v>2.2</v>
      </c>
      <c r="K70" s="136">
        <v>0</v>
      </c>
      <c r="L70" s="103">
        <f>J70*K70</f>
        <v>0</v>
      </c>
      <c r="M70" s="137" t="s">
        <v>140</v>
      </c>
      <c r="N70" s="86"/>
      <c r="Z70" s="103">
        <f>IF(AQ70="5",BJ70,0)</f>
        <v>0</v>
      </c>
      <c r="AB70" s="103">
        <f>IF(AQ70="1",BH70,0)</f>
        <v>0</v>
      </c>
      <c r="AC70" s="103">
        <f>IF(AQ70="1",BI70,0)</f>
        <v>0</v>
      </c>
      <c r="AD70" s="103">
        <f>IF(AQ70="7",BH70,0)</f>
        <v>0</v>
      </c>
      <c r="AE70" s="103">
        <f>IF(AQ70="7",BI70,0)</f>
        <v>0</v>
      </c>
      <c r="AF70" s="103">
        <f>IF(AQ70="2",BH70,0)</f>
        <v>0</v>
      </c>
      <c r="AG70" s="103">
        <f>IF(AQ70="2",BI70,0)</f>
        <v>0</v>
      </c>
      <c r="AH70" s="103">
        <f>IF(AQ70="0",BJ70,0)</f>
        <v>0</v>
      </c>
      <c r="AI70" s="120"/>
      <c r="AJ70" s="103">
        <f>IF(AN70=0,L70,0)</f>
        <v>0</v>
      </c>
      <c r="AK70" s="103">
        <f>IF(AN70=15,L70,0)</f>
        <v>0</v>
      </c>
      <c r="AL70" s="103">
        <f>IF(AN70=21,L70,0)</f>
        <v>0</v>
      </c>
      <c r="AN70" s="103">
        <v>21</v>
      </c>
      <c r="AO70" s="103">
        <f>K70*0.817983968443652</f>
        <v>0</v>
      </c>
      <c r="AP70" s="103">
        <f>K70*(1-0.817983968443652)</f>
        <v>0</v>
      </c>
      <c r="AQ70" s="138" t="s">
        <v>83</v>
      </c>
      <c r="AV70" s="103">
        <f>AW70+AX70</f>
        <v>0</v>
      </c>
      <c r="AW70" s="103">
        <f>J70*AO70</f>
        <v>0</v>
      </c>
      <c r="AX70" s="103">
        <f>J70*AP70</f>
        <v>0</v>
      </c>
      <c r="AY70" s="138" t="s">
        <v>312</v>
      </c>
      <c r="AZ70" s="138" t="s">
        <v>313</v>
      </c>
      <c r="BA70" s="120" t="s">
        <v>143</v>
      </c>
      <c r="BC70" s="103">
        <f>AW70+AX70</f>
        <v>0</v>
      </c>
      <c r="BD70" s="103">
        <f>K70/(100-BE70)*100</f>
        <v>0</v>
      </c>
      <c r="BE70" s="103">
        <v>0</v>
      </c>
      <c r="BF70" s="103">
        <f>70</f>
        <v>70</v>
      </c>
      <c r="BH70" s="103">
        <f>J70*AO70</f>
        <v>0</v>
      </c>
      <c r="BI70" s="103">
        <f>J70*AP70</f>
        <v>0</v>
      </c>
      <c r="BJ70" s="103">
        <f>J70*K70</f>
        <v>0</v>
      </c>
      <c r="BK70" s="103" t="s">
        <v>144</v>
      </c>
      <c r="BL70" s="103">
        <v>89</v>
      </c>
    </row>
    <row r="71" spans="1:47" ht="21.75" customHeight="1">
      <c r="A71" s="131"/>
      <c r="B71" s="132" t="s">
        <v>314</v>
      </c>
      <c r="C71" s="132" t="s">
        <v>315</v>
      </c>
      <c r="D71" s="132"/>
      <c r="E71" s="132"/>
      <c r="F71" s="132"/>
      <c r="G71" s="132"/>
      <c r="H71" s="132"/>
      <c r="I71" s="133" t="s">
        <v>76</v>
      </c>
      <c r="J71" s="133" t="s">
        <v>76</v>
      </c>
      <c r="K71" s="133" t="s">
        <v>76</v>
      </c>
      <c r="L71" s="134">
        <f>SUM(L72:L72)</f>
        <v>0</v>
      </c>
      <c r="M71" s="135"/>
      <c r="N71" s="86"/>
      <c r="AI71" s="120"/>
      <c r="AS71" s="134">
        <f>SUM(AJ72:AJ72)</f>
        <v>0</v>
      </c>
      <c r="AT71" s="134">
        <f>SUM(AK72:AK72)</f>
        <v>0</v>
      </c>
      <c r="AU71" s="134">
        <f>SUM(AL72:AL72)</f>
        <v>0</v>
      </c>
    </row>
    <row r="72" spans="1:64" ht="21.75" customHeight="1">
      <c r="A72" s="104" t="s">
        <v>316</v>
      </c>
      <c r="B72" s="52" t="s">
        <v>317</v>
      </c>
      <c r="C72" s="52" t="s">
        <v>318</v>
      </c>
      <c r="D72" s="52"/>
      <c r="E72" s="52"/>
      <c r="F72" s="52"/>
      <c r="G72" s="52"/>
      <c r="H72" s="52"/>
      <c r="I72" s="52" t="s">
        <v>265</v>
      </c>
      <c r="J72" s="103">
        <v>1</v>
      </c>
      <c r="K72" s="136">
        <v>0</v>
      </c>
      <c r="L72" s="103">
        <f>J72*K72</f>
        <v>0</v>
      </c>
      <c r="M72" s="137" t="s">
        <v>140</v>
      </c>
      <c r="N72" s="86"/>
      <c r="Z72" s="103">
        <f>IF(AQ72="5",BJ72,0)</f>
        <v>0</v>
      </c>
      <c r="AB72" s="103">
        <f>IF(AQ72="1",BH72,0)</f>
        <v>0</v>
      </c>
      <c r="AC72" s="103">
        <f>IF(AQ72="1",BI72,0)</f>
        <v>0</v>
      </c>
      <c r="AD72" s="103">
        <f>IF(AQ72="7",BH72,0)</f>
        <v>0</v>
      </c>
      <c r="AE72" s="103">
        <f>IF(AQ72="7",BI72,0)</f>
        <v>0</v>
      </c>
      <c r="AF72" s="103">
        <f>IF(AQ72="2",BH72,0)</f>
        <v>0</v>
      </c>
      <c r="AG72" s="103">
        <f>IF(AQ72="2",BI72,0)</f>
        <v>0</v>
      </c>
      <c r="AH72" s="103">
        <f>IF(AQ72="0",BJ72,0)</f>
        <v>0</v>
      </c>
      <c r="AI72" s="120"/>
      <c r="AJ72" s="103">
        <f>IF(AN72=0,L72,0)</f>
        <v>0</v>
      </c>
      <c r="AK72" s="103">
        <f>IF(AN72=15,L72,0)</f>
        <v>0</v>
      </c>
      <c r="AL72" s="103">
        <f>IF(AN72=21,L72,0)</f>
        <v>0</v>
      </c>
      <c r="AN72" s="103">
        <v>21</v>
      </c>
      <c r="AO72" s="103">
        <f>K72*0.0588235294117647</f>
        <v>0</v>
      </c>
      <c r="AP72" s="103">
        <f>K72*(1-0.0588235294117647)</f>
        <v>0</v>
      </c>
      <c r="AQ72" s="138" t="s">
        <v>83</v>
      </c>
      <c r="AV72" s="103">
        <f>AW72+AX72</f>
        <v>0</v>
      </c>
      <c r="AW72" s="103">
        <f>J72*AO72</f>
        <v>0</v>
      </c>
      <c r="AX72" s="103">
        <f>J72*AP72</f>
        <v>0</v>
      </c>
      <c r="AY72" s="138" t="s">
        <v>319</v>
      </c>
      <c r="AZ72" s="138" t="s">
        <v>320</v>
      </c>
      <c r="BA72" s="120" t="s">
        <v>143</v>
      </c>
      <c r="BC72" s="103">
        <f>AW72+AX72</f>
        <v>0</v>
      </c>
      <c r="BD72" s="103">
        <f>K72/(100-BE72)*100</f>
        <v>0</v>
      </c>
      <c r="BE72" s="103">
        <v>0</v>
      </c>
      <c r="BF72" s="103">
        <f>72</f>
        <v>72</v>
      </c>
      <c r="BH72" s="103">
        <f>J72*AO72</f>
        <v>0</v>
      </c>
      <c r="BI72" s="103">
        <f>J72*AP72</f>
        <v>0</v>
      </c>
      <c r="BJ72" s="103">
        <f>J72*K72</f>
        <v>0</v>
      </c>
      <c r="BK72" s="103" t="s">
        <v>144</v>
      </c>
      <c r="BL72" s="103">
        <v>90</v>
      </c>
    </row>
    <row r="73" spans="1:47" ht="21.75" customHeight="1">
      <c r="A73" s="131"/>
      <c r="B73" s="132" t="s">
        <v>321</v>
      </c>
      <c r="C73" s="132" t="s">
        <v>322</v>
      </c>
      <c r="D73" s="132"/>
      <c r="E73" s="132"/>
      <c r="F73" s="132"/>
      <c r="G73" s="132"/>
      <c r="H73" s="132"/>
      <c r="I73" s="133" t="s">
        <v>76</v>
      </c>
      <c r="J73" s="133" t="s">
        <v>76</v>
      </c>
      <c r="K73" s="133" t="s">
        <v>76</v>
      </c>
      <c r="L73" s="134">
        <f>SUM(L74:L74)</f>
        <v>0</v>
      </c>
      <c r="M73" s="135"/>
      <c r="N73" s="86"/>
      <c r="AI73" s="120"/>
      <c r="AS73" s="134">
        <f>SUM(AJ74:AJ74)</f>
        <v>0</v>
      </c>
      <c r="AT73" s="134">
        <f>SUM(AK74:AK74)</f>
        <v>0</v>
      </c>
      <c r="AU73" s="134">
        <f>SUM(AL74:AL74)</f>
        <v>0</v>
      </c>
    </row>
    <row r="74" spans="1:64" ht="21.75" customHeight="1">
      <c r="A74" s="104" t="s">
        <v>323</v>
      </c>
      <c r="B74" s="52" t="s">
        <v>324</v>
      </c>
      <c r="C74" s="52" t="s">
        <v>325</v>
      </c>
      <c r="D74" s="52"/>
      <c r="E74" s="52"/>
      <c r="F74" s="52"/>
      <c r="G74" s="52"/>
      <c r="H74" s="52"/>
      <c r="I74" s="52" t="s">
        <v>165</v>
      </c>
      <c r="J74" s="103">
        <v>90</v>
      </c>
      <c r="K74" s="136">
        <v>0</v>
      </c>
      <c r="L74" s="103">
        <f>J74*K74</f>
        <v>0</v>
      </c>
      <c r="M74" s="137" t="s">
        <v>140</v>
      </c>
      <c r="N74" s="86"/>
      <c r="Z74" s="103">
        <f>IF(AQ74="5",BJ74,0)</f>
        <v>0</v>
      </c>
      <c r="AB74" s="103">
        <f>IF(AQ74="1",BH74,0)</f>
        <v>0</v>
      </c>
      <c r="AC74" s="103">
        <f>IF(AQ74="1",BI74,0)</f>
        <v>0</v>
      </c>
      <c r="AD74" s="103">
        <f>IF(AQ74="7",BH74,0)</f>
        <v>0</v>
      </c>
      <c r="AE74" s="103">
        <f>IF(AQ74="7",BI74,0)</f>
        <v>0</v>
      </c>
      <c r="AF74" s="103">
        <f>IF(AQ74="2",BH74,0)</f>
        <v>0</v>
      </c>
      <c r="AG74" s="103">
        <f>IF(AQ74="2",BI74,0)</f>
        <v>0</v>
      </c>
      <c r="AH74" s="103">
        <f>IF(AQ74="0",BJ74,0)</f>
        <v>0</v>
      </c>
      <c r="AI74" s="120"/>
      <c r="AJ74" s="103">
        <f>IF(AN74=0,L74,0)</f>
        <v>0</v>
      </c>
      <c r="AK74" s="103">
        <f>IF(AN74=15,L74,0)</f>
        <v>0</v>
      </c>
      <c r="AL74" s="103">
        <f>IF(AN74=21,L74,0)</f>
        <v>0</v>
      </c>
      <c r="AN74" s="103">
        <v>21</v>
      </c>
      <c r="AO74" s="103">
        <f>K74*0.34535891547522</f>
        <v>0</v>
      </c>
      <c r="AP74" s="103">
        <f>K74*(1-0.34535891547522)</f>
        <v>0</v>
      </c>
      <c r="AQ74" s="138" t="s">
        <v>83</v>
      </c>
      <c r="AV74" s="103">
        <f>AW74+AX74</f>
        <v>0</v>
      </c>
      <c r="AW74" s="103">
        <f>J74*AO74</f>
        <v>0</v>
      </c>
      <c r="AX74" s="103">
        <f>J74*AP74</f>
        <v>0</v>
      </c>
      <c r="AY74" s="138" t="s">
        <v>326</v>
      </c>
      <c r="AZ74" s="138" t="s">
        <v>320</v>
      </c>
      <c r="BA74" s="120" t="s">
        <v>143</v>
      </c>
      <c r="BC74" s="103">
        <f>AW74+AX74</f>
        <v>0</v>
      </c>
      <c r="BD74" s="103">
        <f>K74/(100-BE74)*100</f>
        <v>0</v>
      </c>
      <c r="BE74" s="103">
        <v>0</v>
      </c>
      <c r="BF74" s="103">
        <f>74</f>
        <v>74</v>
      </c>
      <c r="BH74" s="103">
        <f>J74*AO74</f>
        <v>0</v>
      </c>
      <c r="BI74" s="103">
        <f>J74*AP74</f>
        <v>0</v>
      </c>
      <c r="BJ74" s="103">
        <f>J74*K74</f>
        <v>0</v>
      </c>
      <c r="BK74" s="103" t="s">
        <v>144</v>
      </c>
      <c r="BL74" s="103">
        <v>94</v>
      </c>
    </row>
    <row r="75" spans="1:47" ht="21.75" customHeight="1">
      <c r="A75" s="131"/>
      <c r="B75" s="132" t="s">
        <v>327</v>
      </c>
      <c r="C75" s="132" t="s">
        <v>328</v>
      </c>
      <c r="D75" s="132"/>
      <c r="E75" s="132"/>
      <c r="F75" s="132"/>
      <c r="G75" s="132"/>
      <c r="H75" s="132"/>
      <c r="I75" s="133" t="s">
        <v>76</v>
      </c>
      <c r="J75" s="133" t="s">
        <v>76</v>
      </c>
      <c r="K75" s="133" t="s">
        <v>76</v>
      </c>
      <c r="L75" s="134">
        <f>SUM(L76:L77)</f>
        <v>0</v>
      </c>
      <c r="M75" s="135"/>
      <c r="N75" s="86"/>
      <c r="AI75" s="120"/>
      <c r="AS75" s="134">
        <f>SUM(AJ76:AJ77)</f>
        <v>0</v>
      </c>
      <c r="AT75" s="134">
        <f>SUM(AK76:AK77)</f>
        <v>0</v>
      </c>
      <c r="AU75" s="134">
        <f>SUM(AL76:AL77)</f>
        <v>0</v>
      </c>
    </row>
    <row r="76" spans="1:64" ht="21.75" customHeight="1">
      <c r="A76" s="104" t="s">
        <v>329</v>
      </c>
      <c r="B76" s="52" t="s">
        <v>330</v>
      </c>
      <c r="C76" s="52" t="s">
        <v>331</v>
      </c>
      <c r="D76" s="52"/>
      <c r="E76" s="52"/>
      <c r="F76" s="52"/>
      <c r="G76" s="52"/>
      <c r="H76" s="52"/>
      <c r="I76" s="52" t="s">
        <v>165</v>
      </c>
      <c r="J76" s="103">
        <v>60</v>
      </c>
      <c r="K76" s="136">
        <v>0</v>
      </c>
      <c r="L76" s="103">
        <f>J76*K76</f>
        <v>0</v>
      </c>
      <c r="M76" s="137" t="s">
        <v>332</v>
      </c>
      <c r="N76" s="86"/>
      <c r="Z76" s="103">
        <f>IF(AQ76="5",BJ76,0)</f>
        <v>0</v>
      </c>
      <c r="AB76" s="103">
        <f>IF(AQ76="1",BH76,0)</f>
        <v>0</v>
      </c>
      <c r="AC76" s="103">
        <f>IF(AQ76="1",BI76,0)</f>
        <v>0</v>
      </c>
      <c r="AD76" s="103">
        <f>IF(AQ76="7",BH76,0)</f>
        <v>0</v>
      </c>
      <c r="AE76" s="103">
        <f>IF(AQ76="7",BI76,0)</f>
        <v>0</v>
      </c>
      <c r="AF76" s="103">
        <f>IF(AQ76="2",BH76,0)</f>
        <v>0</v>
      </c>
      <c r="AG76" s="103">
        <f>IF(AQ76="2",BI76,0)</f>
        <v>0</v>
      </c>
      <c r="AH76" s="103">
        <f>IF(AQ76="0",BJ76,0)</f>
        <v>0</v>
      </c>
      <c r="AI76" s="120"/>
      <c r="AJ76" s="103">
        <f>IF(AN76=0,L76,0)</f>
        <v>0</v>
      </c>
      <c r="AK76" s="103">
        <f>IF(AN76=15,L76,0)</f>
        <v>0</v>
      </c>
      <c r="AL76" s="103">
        <f>IF(AN76=21,L76,0)</f>
        <v>0</v>
      </c>
      <c r="AN76" s="103">
        <v>21</v>
      </c>
      <c r="AO76" s="103">
        <f>K76*0.112058823529412</f>
        <v>0</v>
      </c>
      <c r="AP76" s="103">
        <f>K76*(1-0.112058823529412)</f>
        <v>0</v>
      </c>
      <c r="AQ76" s="138" t="s">
        <v>83</v>
      </c>
      <c r="AV76" s="103">
        <f>AW76+AX76</f>
        <v>0</v>
      </c>
      <c r="AW76" s="103">
        <f>J76*AO76</f>
        <v>0</v>
      </c>
      <c r="AX76" s="103">
        <f>J76*AP76</f>
        <v>0</v>
      </c>
      <c r="AY76" s="138" t="s">
        <v>333</v>
      </c>
      <c r="AZ76" s="138" t="s">
        <v>320</v>
      </c>
      <c r="BA76" s="120" t="s">
        <v>143</v>
      </c>
      <c r="BC76" s="103">
        <f>AW76+AX76</f>
        <v>0</v>
      </c>
      <c r="BD76" s="103">
        <f>K76/(100-BE76)*100</f>
        <v>0</v>
      </c>
      <c r="BE76" s="103">
        <v>0</v>
      </c>
      <c r="BF76" s="103">
        <f>76</f>
        <v>76</v>
      </c>
      <c r="BH76" s="103">
        <f>J76*AO76</f>
        <v>0</v>
      </c>
      <c r="BI76" s="103">
        <f>J76*AP76</f>
        <v>0</v>
      </c>
      <c r="BJ76" s="103">
        <f>J76*K76</f>
        <v>0</v>
      </c>
      <c r="BK76" s="103" t="s">
        <v>144</v>
      </c>
      <c r="BL76" s="103">
        <v>95</v>
      </c>
    </row>
    <row r="77" spans="1:64" ht="21.75" customHeight="1">
      <c r="A77" s="104" t="s">
        <v>334</v>
      </c>
      <c r="B77" s="52" t="s">
        <v>335</v>
      </c>
      <c r="C77" s="52" t="s">
        <v>336</v>
      </c>
      <c r="D77" s="52"/>
      <c r="E77" s="52"/>
      <c r="F77" s="52"/>
      <c r="G77" s="52"/>
      <c r="H77" s="52"/>
      <c r="I77" s="52" t="s">
        <v>165</v>
      </c>
      <c r="J77" s="103">
        <v>1000</v>
      </c>
      <c r="K77" s="136">
        <v>0</v>
      </c>
      <c r="L77" s="103">
        <f>J77*K77</f>
        <v>0</v>
      </c>
      <c r="M77" s="137" t="s">
        <v>332</v>
      </c>
      <c r="N77" s="86"/>
      <c r="Z77" s="103">
        <f>IF(AQ77="5",BJ77,0)</f>
        <v>0</v>
      </c>
      <c r="AB77" s="103">
        <f>IF(AQ77="1",BH77,0)</f>
        <v>0</v>
      </c>
      <c r="AC77" s="103">
        <f>IF(AQ77="1",BI77,0)</f>
        <v>0</v>
      </c>
      <c r="AD77" s="103">
        <f>IF(AQ77="7",BH77,0)</f>
        <v>0</v>
      </c>
      <c r="AE77" s="103">
        <f>IF(AQ77="7",BI77,0)</f>
        <v>0</v>
      </c>
      <c r="AF77" s="103">
        <f>IF(AQ77="2",BH77,0)</f>
        <v>0</v>
      </c>
      <c r="AG77" s="103">
        <f>IF(AQ77="2",BI77,0)</f>
        <v>0</v>
      </c>
      <c r="AH77" s="103">
        <f>IF(AQ77="0",BJ77,0)</f>
        <v>0</v>
      </c>
      <c r="AI77" s="120"/>
      <c r="AJ77" s="103">
        <f>IF(AN77=0,L77,0)</f>
        <v>0</v>
      </c>
      <c r="AK77" s="103">
        <f>IF(AN77=15,L77,0)</f>
        <v>0</v>
      </c>
      <c r="AL77" s="103">
        <f>IF(AN77=21,L77,0)</f>
        <v>0</v>
      </c>
      <c r="AN77" s="103">
        <v>21</v>
      </c>
      <c r="AO77" s="103">
        <f>K77*0</f>
        <v>0</v>
      </c>
      <c r="AP77" s="103">
        <f>K77*(1-0)</f>
        <v>0</v>
      </c>
      <c r="AQ77" s="138" t="s">
        <v>83</v>
      </c>
      <c r="AV77" s="103">
        <f>AW77+AX77</f>
        <v>0</v>
      </c>
      <c r="AW77" s="103">
        <f>J77*AO77</f>
        <v>0</v>
      </c>
      <c r="AX77" s="103">
        <f>J77*AP77</f>
        <v>0</v>
      </c>
      <c r="AY77" s="138" t="s">
        <v>333</v>
      </c>
      <c r="AZ77" s="138" t="s">
        <v>320</v>
      </c>
      <c r="BA77" s="120" t="s">
        <v>143</v>
      </c>
      <c r="BC77" s="103">
        <f>AW77+AX77</f>
        <v>0</v>
      </c>
      <c r="BD77" s="103">
        <f>K77/(100-BE77)*100</f>
        <v>0</v>
      </c>
      <c r="BE77" s="103">
        <v>0</v>
      </c>
      <c r="BF77" s="103">
        <f>77</f>
        <v>77</v>
      </c>
      <c r="BH77" s="103">
        <f>J77*AO77</f>
        <v>0</v>
      </c>
      <c r="BI77" s="103">
        <f>J77*AP77</f>
        <v>0</v>
      </c>
      <c r="BJ77" s="103">
        <f>J77*K77</f>
        <v>0</v>
      </c>
      <c r="BK77" s="103" t="s">
        <v>144</v>
      </c>
      <c r="BL77" s="103">
        <v>95</v>
      </c>
    </row>
    <row r="78" spans="1:47" ht="21.75" customHeight="1">
      <c r="A78" s="131"/>
      <c r="B78" s="132" t="s">
        <v>337</v>
      </c>
      <c r="C78" s="132" t="s">
        <v>338</v>
      </c>
      <c r="D78" s="132"/>
      <c r="E78" s="132"/>
      <c r="F78" s="132"/>
      <c r="G78" s="132"/>
      <c r="H78" s="132"/>
      <c r="I78" s="133" t="s">
        <v>76</v>
      </c>
      <c r="J78" s="133" t="s">
        <v>76</v>
      </c>
      <c r="K78" s="133" t="s">
        <v>76</v>
      </c>
      <c r="L78" s="134">
        <f>SUM(L79:L79)</f>
        <v>0</v>
      </c>
      <c r="M78" s="135"/>
      <c r="N78" s="86"/>
      <c r="AI78" s="120"/>
      <c r="AS78" s="134">
        <f>SUM(AJ79:AJ79)</f>
        <v>0</v>
      </c>
      <c r="AT78" s="134">
        <f>SUM(AK79:AK79)</f>
        <v>0</v>
      </c>
      <c r="AU78" s="134">
        <f>SUM(AL79:AL79)</f>
        <v>0</v>
      </c>
    </row>
    <row r="79" spans="1:64" ht="21.75" customHeight="1">
      <c r="A79" s="104" t="s">
        <v>339</v>
      </c>
      <c r="B79" s="52" t="s">
        <v>340</v>
      </c>
      <c r="C79" s="52" t="s">
        <v>341</v>
      </c>
      <c r="D79" s="52"/>
      <c r="E79" s="52"/>
      <c r="F79" s="52"/>
      <c r="G79" s="52"/>
      <c r="H79" s="52"/>
      <c r="I79" s="52" t="s">
        <v>139</v>
      </c>
      <c r="J79" s="103">
        <v>0.5</v>
      </c>
      <c r="K79" s="136">
        <v>0</v>
      </c>
      <c r="L79" s="103">
        <f>J79*K79</f>
        <v>0</v>
      </c>
      <c r="M79" s="137" t="s">
        <v>140</v>
      </c>
      <c r="N79" s="86"/>
      <c r="Z79" s="103">
        <f>IF(AQ79="5",BJ79,0)</f>
        <v>0</v>
      </c>
      <c r="AB79" s="103">
        <f>IF(AQ79="1",BH79,0)</f>
        <v>0</v>
      </c>
      <c r="AC79" s="103">
        <f>IF(AQ79="1",BI79,0)</f>
        <v>0</v>
      </c>
      <c r="AD79" s="103">
        <f>IF(AQ79="7",BH79,0)</f>
        <v>0</v>
      </c>
      <c r="AE79" s="103">
        <f>IF(AQ79="7",BI79,0)</f>
        <v>0</v>
      </c>
      <c r="AF79" s="103">
        <f>IF(AQ79="2",BH79,0)</f>
        <v>0</v>
      </c>
      <c r="AG79" s="103">
        <f>IF(AQ79="2",BI79,0)</f>
        <v>0</v>
      </c>
      <c r="AH79" s="103">
        <f>IF(AQ79="0",BJ79,0)</f>
        <v>0</v>
      </c>
      <c r="AI79" s="120"/>
      <c r="AJ79" s="103">
        <f>IF(AN79=0,L79,0)</f>
        <v>0</v>
      </c>
      <c r="AK79" s="103">
        <f>IF(AN79=15,L79,0)</f>
        <v>0</v>
      </c>
      <c r="AL79" s="103">
        <f>IF(AN79=21,L79,0)</f>
        <v>0</v>
      </c>
      <c r="AN79" s="103">
        <v>21</v>
      </c>
      <c r="AO79" s="103">
        <f>K79*0</f>
        <v>0</v>
      </c>
      <c r="AP79" s="103">
        <f>K79*(1-0)</f>
        <v>0</v>
      </c>
      <c r="AQ79" s="138" t="s">
        <v>83</v>
      </c>
      <c r="AV79" s="103">
        <f>AW79+AX79</f>
        <v>0</v>
      </c>
      <c r="AW79" s="103">
        <f>J79*AO79</f>
        <v>0</v>
      </c>
      <c r="AX79" s="103">
        <f>J79*AP79</f>
        <v>0</v>
      </c>
      <c r="AY79" s="138" t="s">
        <v>342</v>
      </c>
      <c r="AZ79" s="138" t="s">
        <v>320</v>
      </c>
      <c r="BA79" s="120" t="s">
        <v>143</v>
      </c>
      <c r="BB79" s="120" t="s">
        <v>343</v>
      </c>
      <c r="BC79" s="103">
        <f>AW79+AX79</f>
        <v>0</v>
      </c>
      <c r="BD79" s="103">
        <f>K79/(100-BE79)*100</f>
        <v>0</v>
      </c>
      <c r="BE79" s="103">
        <v>0</v>
      </c>
      <c r="BF79" s="103">
        <f>79</f>
        <v>79</v>
      </c>
      <c r="BH79" s="103">
        <f>J79*AO79</f>
        <v>0</v>
      </c>
      <c r="BI79" s="103">
        <f>J79*AP79</f>
        <v>0</v>
      </c>
      <c r="BJ79" s="103">
        <f>J79*K79</f>
        <v>0</v>
      </c>
      <c r="BK79" s="103" t="s">
        <v>144</v>
      </c>
      <c r="BL79" s="103">
        <v>96</v>
      </c>
    </row>
    <row r="80" spans="1:47" ht="21.75" customHeight="1">
      <c r="A80" s="131"/>
      <c r="B80" s="132" t="s">
        <v>344</v>
      </c>
      <c r="C80" s="132" t="s">
        <v>345</v>
      </c>
      <c r="D80" s="132"/>
      <c r="E80" s="132"/>
      <c r="F80" s="132"/>
      <c r="G80" s="132"/>
      <c r="H80" s="132"/>
      <c r="I80" s="133" t="s">
        <v>76</v>
      </c>
      <c r="J80" s="133" t="s">
        <v>76</v>
      </c>
      <c r="K80" s="133" t="s">
        <v>76</v>
      </c>
      <c r="L80" s="134">
        <f>SUM(L81:L82)</f>
        <v>0</v>
      </c>
      <c r="M80" s="135"/>
      <c r="N80" s="86"/>
      <c r="AI80" s="120"/>
      <c r="AS80" s="134">
        <f>SUM(AJ81:AJ82)</f>
        <v>0</v>
      </c>
      <c r="AT80" s="134">
        <f>SUM(AK81:AK82)</f>
        <v>0</v>
      </c>
      <c r="AU80" s="134">
        <f>SUM(AL81:AL82)</f>
        <v>0</v>
      </c>
    </row>
    <row r="81" spans="1:64" ht="21.75" customHeight="1">
      <c r="A81" s="104" t="s">
        <v>346</v>
      </c>
      <c r="B81" s="52" t="s">
        <v>347</v>
      </c>
      <c r="C81" s="52" t="s">
        <v>348</v>
      </c>
      <c r="D81" s="52"/>
      <c r="E81" s="52"/>
      <c r="F81" s="52"/>
      <c r="G81" s="52"/>
      <c r="H81" s="52"/>
      <c r="I81" s="52" t="s">
        <v>253</v>
      </c>
      <c r="J81" s="103">
        <v>8</v>
      </c>
      <c r="K81" s="136">
        <v>0</v>
      </c>
      <c r="L81" s="103">
        <f>J81*K81</f>
        <v>0</v>
      </c>
      <c r="M81" s="137" t="s">
        <v>140</v>
      </c>
      <c r="N81" s="86"/>
      <c r="Z81" s="103">
        <f>IF(AQ81="5",BJ81,0)</f>
        <v>0</v>
      </c>
      <c r="AB81" s="103">
        <f>IF(AQ81="1",BH81,0)</f>
        <v>0</v>
      </c>
      <c r="AC81" s="103">
        <f>IF(AQ81="1",BI81,0)</f>
        <v>0</v>
      </c>
      <c r="AD81" s="103">
        <f>IF(AQ81="7",BH81,0)</f>
        <v>0</v>
      </c>
      <c r="AE81" s="103">
        <f>IF(AQ81="7",BI81,0)</f>
        <v>0</v>
      </c>
      <c r="AF81" s="103">
        <f>IF(AQ81="2",BH81,0)</f>
        <v>0</v>
      </c>
      <c r="AG81" s="103">
        <f>IF(AQ81="2",BI81,0)</f>
        <v>0</v>
      </c>
      <c r="AH81" s="103">
        <f>IF(AQ81="0",BJ81,0)</f>
        <v>0</v>
      </c>
      <c r="AI81" s="120"/>
      <c r="AJ81" s="103">
        <f>IF(AN81=0,L81,0)</f>
        <v>0</v>
      </c>
      <c r="AK81" s="103">
        <f>IF(AN81=15,L81,0)</f>
        <v>0</v>
      </c>
      <c r="AL81" s="103">
        <f>IF(AN81=21,L81,0)</f>
        <v>0</v>
      </c>
      <c r="AN81" s="103">
        <v>21</v>
      </c>
      <c r="AO81" s="103">
        <f>K81*0.014199535962877</f>
        <v>0</v>
      </c>
      <c r="AP81" s="103">
        <f>K81*(1-0.014199535962877)</f>
        <v>0</v>
      </c>
      <c r="AQ81" s="138" t="s">
        <v>83</v>
      </c>
      <c r="AV81" s="103">
        <f>AW81+AX81</f>
        <v>0</v>
      </c>
      <c r="AW81" s="103">
        <f>J81*AO81</f>
        <v>0</v>
      </c>
      <c r="AX81" s="103">
        <f>J81*AP81</f>
        <v>0</v>
      </c>
      <c r="AY81" s="138" t="s">
        <v>349</v>
      </c>
      <c r="AZ81" s="138" t="s">
        <v>320</v>
      </c>
      <c r="BA81" s="120" t="s">
        <v>143</v>
      </c>
      <c r="BC81" s="103">
        <f>AW81+AX81</f>
        <v>0</v>
      </c>
      <c r="BD81" s="103">
        <f>K81/(100-BE81)*100</f>
        <v>0</v>
      </c>
      <c r="BE81" s="103">
        <v>0</v>
      </c>
      <c r="BF81" s="103">
        <f>81</f>
        <v>81</v>
      </c>
      <c r="BH81" s="103">
        <f>J81*AO81</f>
        <v>0</v>
      </c>
      <c r="BI81" s="103">
        <f>J81*AP81</f>
        <v>0</v>
      </c>
      <c r="BJ81" s="103">
        <f>J81*K81</f>
        <v>0</v>
      </c>
      <c r="BK81" s="103" t="s">
        <v>144</v>
      </c>
      <c r="BL81" s="103">
        <v>97</v>
      </c>
    </row>
    <row r="82" spans="1:64" ht="21.75" customHeight="1">
      <c r="A82" s="104" t="s">
        <v>350</v>
      </c>
      <c r="B82" s="52" t="s">
        <v>351</v>
      </c>
      <c r="C82" s="52" t="s">
        <v>352</v>
      </c>
      <c r="D82" s="52"/>
      <c r="E82" s="52"/>
      <c r="F82" s="52"/>
      <c r="G82" s="52"/>
      <c r="H82" s="52"/>
      <c r="I82" s="52" t="s">
        <v>210</v>
      </c>
      <c r="J82" s="103">
        <v>7</v>
      </c>
      <c r="K82" s="136">
        <v>0</v>
      </c>
      <c r="L82" s="103">
        <f>J82*K82</f>
        <v>0</v>
      </c>
      <c r="M82" s="137" t="s">
        <v>140</v>
      </c>
      <c r="N82" s="86"/>
      <c r="Z82" s="103">
        <f>IF(AQ82="5",BJ82,0)</f>
        <v>0</v>
      </c>
      <c r="AB82" s="103">
        <f>IF(AQ82="1",BH82,0)</f>
        <v>0</v>
      </c>
      <c r="AC82" s="103">
        <f>IF(AQ82="1",BI82,0)</f>
        <v>0</v>
      </c>
      <c r="AD82" s="103">
        <f>IF(AQ82="7",BH82,0)</f>
        <v>0</v>
      </c>
      <c r="AE82" s="103">
        <f>IF(AQ82="7",BI82,0)</f>
        <v>0</v>
      </c>
      <c r="AF82" s="103">
        <f>IF(AQ82="2",BH82,0)</f>
        <v>0</v>
      </c>
      <c r="AG82" s="103">
        <f>IF(AQ82="2",BI82,0)</f>
        <v>0</v>
      </c>
      <c r="AH82" s="103">
        <f>IF(AQ82="0",BJ82,0)</f>
        <v>0</v>
      </c>
      <c r="AI82" s="120"/>
      <c r="AJ82" s="103">
        <f>IF(AN82=0,L82,0)</f>
        <v>0</v>
      </c>
      <c r="AK82" s="103">
        <f>IF(AN82=15,L82,0)</f>
        <v>0</v>
      </c>
      <c r="AL82" s="103">
        <f>IF(AN82=21,L82,0)</f>
        <v>0</v>
      </c>
      <c r="AN82" s="103">
        <v>21</v>
      </c>
      <c r="AO82" s="103">
        <f>K82*0.031801424028368</f>
        <v>0</v>
      </c>
      <c r="AP82" s="103">
        <f>K82*(1-0.031801424028368)</f>
        <v>0</v>
      </c>
      <c r="AQ82" s="138" t="s">
        <v>83</v>
      </c>
      <c r="AV82" s="103">
        <f>AW82+AX82</f>
        <v>0</v>
      </c>
      <c r="AW82" s="103">
        <f>J82*AO82</f>
        <v>0</v>
      </c>
      <c r="AX82" s="103">
        <f>J82*AP82</f>
        <v>0</v>
      </c>
      <c r="AY82" s="138" t="s">
        <v>349</v>
      </c>
      <c r="AZ82" s="138" t="s">
        <v>320</v>
      </c>
      <c r="BA82" s="120" t="s">
        <v>143</v>
      </c>
      <c r="BC82" s="103">
        <f>AW82+AX82</f>
        <v>0</v>
      </c>
      <c r="BD82" s="103">
        <f>K82/(100-BE82)*100</f>
        <v>0</v>
      </c>
      <c r="BE82" s="103">
        <v>0</v>
      </c>
      <c r="BF82" s="103">
        <f>82</f>
        <v>82</v>
      </c>
      <c r="BH82" s="103">
        <f>J82*AO82</f>
        <v>0</v>
      </c>
      <c r="BI82" s="103">
        <f>J82*AP82</f>
        <v>0</v>
      </c>
      <c r="BJ82" s="103">
        <f>J82*K82</f>
        <v>0</v>
      </c>
      <c r="BK82" s="103" t="s">
        <v>144</v>
      </c>
      <c r="BL82" s="103">
        <v>97</v>
      </c>
    </row>
    <row r="83" spans="1:47" ht="21.75" customHeight="1">
      <c r="A83" s="131"/>
      <c r="B83" s="132" t="s">
        <v>353</v>
      </c>
      <c r="C83" s="132" t="s">
        <v>354</v>
      </c>
      <c r="D83" s="132"/>
      <c r="E83" s="132"/>
      <c r="F83" s="132"/>
      <c r="G83" s="132"/>
      <c r="H83" s="132"/>
      <c r="I83" s="133" t="s">
        <v>76</v>
      </c>
      <c r="J83" s="133" t="s">
        <v>76</v>
      </c>
      <c r="K83" s="133" t="s">
        <v>76</v>
      </c>
      <c r="L83" s="134">
        <f>SUM(L84:L84)</f>
        <v>0</v>
      </c>
      <c r="M83" s="135"/>
      <c r="N83" s="86"/>
      <c r="AI83" s="120"/>
      <c r="AS83" s="134">
        <f>SUM(AJ84:AJ84)</f>
        <v>0</v>
      </c>
      <c r="AT83" s="134">
        <f>SUM(AK84:AK84)</f>
        <v>0</v>
      </c>
      <c r="AU83" s="134">
        <f>SUM(AL84:AL84)</f>
        <v>0</v>
      </c>
    </row>
    <row r="84" spans="1:64" ht="21.75" customHeight="1">
      <c r="A84" s="104" t="s">
        <v>355</v>
      </c>
      <c r="B84" s="52" t="s">
        <v>356</v>
      </c>
      <c r="C84" s="52" t="s">
        <v>357</v>
      </c>
      <c r="D84" s="52"/>
      <c r="E84" s="52"/>
      <c r="F84" s="52"/>
      <c r="G84" s="52"/>
      <c r="H84" s="52"/>
      <c r="I84" s="52" t="s">
        <v>183</v>
      </c>
      <c r="J84" s="103">
        <v>10</v>
      </c>
      <c r="K84" s="136">
        <v>0</v>
      </c>
      <c r="L84" s="103">
        <f>J84*K84</f>
        <v>0</v>
      </c>
      <c r="M84" s="137" t="s">
        <v>140</v>
      </c>
      <c r="N84" s="86"/>
      <c r="Z84" s="103">
        <f>IF(AQ84="5",BJ84,0)</f>
        <v>0</v>
      </c>
      <c r="AB84" s="103">
        <f>IF(AQ84="1",BH84,0)</f>
        <v>0</v>
      </c>
      <c r="AC84" s="103">
        <f>IF(AQ84="1",BI84,0)</f>
        <v>0</v>
      </c>
      <c r="AD84" s="103">
        <f>IF(AQ84="7",BH84,0)</f>
        <v>0</v>
      </c>
      <c r="AE84" s="103">
        <f>IF(AQ84="7",BI84,0)</f>
        <v>0</v>
      </c>
      <c r="AF84" s="103">
        <f>IF(AQ84="2",BH84,0)</f>
        <v>0</v>
      </c>
      <c r="AG84" s="103">
        <f>IF(AQ84="2",BI84,0)</f>
        <v>0</v>
      </c>
      <c r="AH84" s="103">
        <f>IF(AQ84="0",BJ84,0)</f>
        <v>0</v>
      </c>
      <c r="AI84" s="120"/>
      <c r="AJ84" s="103">
        <f>IF(AN84=0,L84,0)</f>
        <v>0</v>
      </c>
      <c r="AK84" s="103">
        <f>IF(AN84=15,L84,0)</f>
        <v>0</v>
      </c>
      <c r="AL84" s="103">
        <f>IF(AN84=21,L84,0)</f>
        <v>0</v>
      </c>
      <c r="AN84" s="103">
        <v>21</v>
      </c>
      <c r="AO84" s="103">
        <f>K84*0</f>
        <v>0</v>
      </c>
      <c r="AP84" s="103">
        <f>K84*(1-0)</f>
        <v>0</v>
      </c>
      <c r="AQ84" s="138" t="s">
        <v>155</v>
      </c>
      <c r="AV84" s="103">
        <f>AW84+AX84</f>
        <v>0</v>
      </c>
      <c r="AW84" s="103">
        <f>J84*AO84</f>
        <v>0</v>
      </c>
      <c r="AX84" s="103">
        <f>J84*AP84</f>
        <v>0</v>
      </c>
      <c r="AY84" s="138" t="s">
        <v>358</v>
      </c>
      <c r="AZ84" s="138" t="s">
        <v>320</v>
      </c>
      <c r="BA84" s="120" t="s">
        <v>143</v>
      </c>
      <c r="BC84" s="103">
        <f>AW84+AX84</f>
        <v>0</v>
      </c>
      <c r="BD84" s="103">
        <f>K84/(100-BE84)*100</f>
        <v>0</v>
      </c>
      <c r="BE84" s="103">
        <v>0</v>
      </c>
      <c r="BF84" s="103">
        <f>84</f>
        <v>84</v>
      </c>
      <c r="BH84" s="103">
        <f>J84*AO84</f>
        <v>0</v>
      </c>
      <c r="BI84" s="103">
        <f>J84*AP84</f>
        <v>0</v>
      </c>
      <c r="BJ84" s="103">
        <f>J84*K84</f>
        <v>0</v>
      </c>
      <c r="BK84" s="103" t="s">
        <v>144</v>
      </c>
      <c r="BL84" s="103" t="s">
        <v>353</v>
      </c>
    </row>
    <row r="85" spans="1:47" ht="21.75" customHeight="1">
      <c r="A85" s="131"/>
      <c r="B85" s="132" t="s">
        <v>359</v>
      </c>
      <c r="C85" s="132" t="s">
        <v>360</v>
      </c>
      <c r="D85" s="132"/>
      <c r="E85" s="132"/>
      <c r="F85" s="132"/>
      <c r="G85" s="132"/>
      <c r="H85" s="132"/>
      <c r="I85" s="133" t="s">
        <v>76</v>
      </c>
      <c r="J85" s="133" t="s">
        <v>76</v>
      </c>
      <c r="K85" s="133" t="s">
        <v>76</v>
      </c>
      <c r="L85" s="134">
        <f>SUM(L86:L86)</f>
        <v>0</v>
      </c>
      <c r="M85" s="135"/>
      <c r="N85" s="86"/>
      <c r="AI85" s="120"/>
      <c r="AS85" s="134">
        <f>SUM(AJ86:AJ86)</f>
        <v>0</v>
      </c>
      <c r="AT85" s="134">
        <f>SUM(AK86:AK86)</f>
        <v>0</v>
      </c>
      <c r="AU85" s="134">
        <f>SUM(AL86:AL86)</f>
        <v>0</v>
      </c>
    </row>
    <row r="86" spans="1:64" ht="21.75" customHeight="1">
      <c r="A86" s="104" t="s">
        <v>361</v>
      </c>
      <c r="B86" s="52" t="s">
        <v>362</v>
      </c>
      <c r="C86" s="52" t="s">
        <v>363</v>
      </c>
      <c r="D86" s="52"/>
      <c r="E86" s="52"/>
      <c r="F86" s="52"/>
      <c r="G86" s="52"/>
      <c r="H86" s="52"/>
      <c r="I86" s="52" t="s">
        <v>210</v>
      </c>
      <c r="J86" s="103">
        <v>10</v>
      </c>
      <c r="K86" s="136">
        <v>0</v>
      </c>
      <c r="L86" s="103">
        <f>J86*K86</f>
        <v>0</v>
      </c>
      <c r="M86" s="137" t="s">
        <v>140</v>
      </c>
      <c r="N86" s="86"/>
      <c r="Z86" s="103">
        <f>IF(AQ86="5",BJ86,0)</f>
        <v>0</v>
      </c>
      <c r="AB86" s="103">
        <f>IF(AQ86="1",BH86,0)</f>
        <v>0</v>
      </c>
      <c r="AC86" s="103">
        <f>IF(AQ86="1",BI86,0)</f>
        <v>0</v>
      </c>
      <c r="AD86" s="103">
        <f>IF(AQ86="7",BH86,0)</f>
        <v>0</v>
      </c>
      <c r="AE86" s="103">
        <f>IF(AQ86="7",BI86,0)</f>
        <v>0</v>
      </c>
      <c r="AF86" s="103">
        <f>IF(AQ86="2",BH86,0)</f>
        <v>0</v>
      </c>
      <c r="AG86" s="103">
        <f>IF(AQ86="2",BI86,0)</f>
        <v>0</v>
      </c>
      <c r="AH86" s="103">
        <f>IF(AQ86="0",BJ86,0)</f>
        <v>0</v>
      </c>
      <c r="AI86" s="120"/>
      <c r="AJ86" s="103">
        <f>IF(AN86=0,L86,0)</f>
        <v>0</v>
      </c>
      <c r="AK86" s="103">
        <f>IF(AN86=15,L86,0)</f>
        <v>0</v>
      </c>
      <c r="AL86" s="103">
        <f>IF(AN86=21,L86,0)</f>
        <v>0</v>
      </c>
      <c r="AN86" s="103">
        <v>21</v>
      </c>
      <c r="AO86" s="103">
        <f>K86*0.393258426966292</f>
        <v>0</v>
      </c>
      <c r="AP86" s="103">
        <f>K86*(1-0.393258426966292)</f>
        <v>0</v>
      </c>
      <c r="AQ86" s="138" t="s">
        <v>86</v>
      </c>
      <c r="AV86" s="103">
        <f>AW86+AX86</f>
        <v>0</v>
      </c>
      <c r="AW86" s="103">
        <f>J86*AO86</f>
        <v>0</v>
      </c>
      <c r="AX86" s="103">
        <f>J86*AP86</f>
        <v>0</v>
      </c>
      <c r="AY86" s="138" t="s">
        <v>364</v>
      </c>
      <c r="AZ86" s="138" t="s">
        <v>320</v>
      </c>
      <c r="BA86" s="120" t="s">
        <v>143</v>
      </c>
      <c r="BC86" s="103">
        <f>AW86+AX86</f>
        <v>0</v>
      </c>
      <c r="BD86" s="103">
        <f>K86/(100-BE86)*100</f>
        <v>0</v>
      </c>
      <c r="BE86" s="103">
        <v>0</v>
      </c>
      <c r="BF86" s="103">
        <f>86</f>
        <v>86</v>
      </c>
      <c r="BH86" s="103">
        <f>J86*AO86</f>
        <v>0</v>
      </c>
      <c r="BI86" s="103">
        <f>J86*AP86</f>
        <v>0</v>
      </c>
      <c r="BJ86" s="103">
        <f>J86*K86</f>
        <v>0</v>
      </c>
      <c r="BK86" s="103" t="s">
        <v>144</v>
      </c>
      <c r="BL86" s="103" t="s">
        <v>359</v>
      </c>
    </row>
    <row r="87" spans="1:47" ht="21.75" customHeight="1">
      <c r="A87" s="131"/>
      <c r="B87" s="132" t="s">
        <v>365</v>
      </c>
      <c r="C87" s="132" t="s">
        <v>366</v>
      </c>
      <c r="D87" s="132"/>
      <c r="E87" s="132"/>
      <c r="F87" s="132"/>
      <c r="G87" s="132"/>
      <c r="H87" s="132"/>
      <c r="I87" s="133" t="s">
        <v>76</v>
      </c>
      <c r="J87" s="133" t="s">
        <v>76</v>
      </c>
      <c r="K87" s="133" t="s">
        <v>76</v>
      </c>
      <c r="L87" s="134">
        <f>SUM(L88:L89)</f>
        <v>0</v>
      </c>
      <c r="M87" s="135"/>
      <c r="N87" s="86"/>
      <c r="AI87" s="120"/>
      <c r="AS87" s="134">
        <f>SUM(AJ88:AJ89)</f>
        <v>0</v>
      </c>
      <c r="AT87" s="134">
        <f>SUM(AK88:AK89)</f>
        <v>0</v>
      </c>
      <c r="AU87" s="134">
        <f>SUM(AL88:AL89)</f>
        <v>0</v>
      </c>
    </row>
    <row r="88" spans="1:64" ht="21.75" customHeight="1">
      <c r="A88" s="104" t="s">
        <v>367</v>
      </c>
      <c r="B88" s="52" t="s">
        <v>368</v>
      </c>
      <c r="C88" s="52" t="s">
        <v>369</v>
      </c>
      <c r="D88" s="52"/>
      <c r="E88" s="52"/>
      <c r="F88" s="52"/>
      <c r="G88" s="52"/>
      <c r="H88" s="52"/>
      <c r="I88" s="52" t="s">
        <v>253</v>
      </c>
      <c r="J88" s="103">
        <v>1</v>
      </c>
      <c r="K88" s="136">
        <v>0</v>
      </c>
      <c r="L88" s="103">
        <f>J88*K88</f>
        <v>0</v>
      </c>
      <c r="M88" s="137" t="s">
        <v>140</v>
      </c>
      <c r="N88" s="86"/>
      <c r="Z88" s="103">
        <f>IF(AQ88="5",BJ88,0)</f>
        <v>0</v>
      </c>
      <c r="AB88" s="103">
        <f>IF(AQ88="1",BH88,0)</f>
        <v>0</v>
      </c>
      <c r="AC88" s="103">
        <f>IF(AQ88="1",BI88,0)</f>
        <v>0</v>
      </c>
      <c r="AD88" s="103">
        <f>IF(AQ88="7",BH88,0)</f>
        <v>0</v>
      </c>
      <c r="AE88" s="103">
        <f>IF(AQ88="7",BI88,0)</f>
        <v>0</v>
      </c>
      <c r="AF88" s="103">
        <f>IF(AQ88="2",BH88,0)</f>
        <v>0</v>
      </c>
      <c r="AG88" s="103">
        <f>IF(AQ88="2",BI88,0)</f>
        <v>0</v>
      </c>
      <c r="AH88" s="103">
        <f>IF(AQ88="0",BJ88,0)</f>
        <v>0</v>
      </c>
      <c r="AI88" s="120"/>
      <c r="AJ88" s="103">
        <f>IF(AN88=0,L88,0)</f>
        <v>0</v>
      </c>
      <c r="AK88" s="103">
        <f>IF(AN88=15,L88,0)</f>
        <v>0</v>
      </c>
      <c r="AL88" s="103">
        <f>IF(AN88=21,L88,0)</f>
        <v>0</v>
      </c>
      <c r="AN88" s="103">
        <v>21</v>
      </c>
      <c r="AO88" s="103">
        <f>K88*0.0028735632183908</f>
        <v>0</v>
      </c>
      <c r="AP88" s="103">
        <f>K88*(1-0.0028735632183908)</f>
        <v>0</v>
      </c>
      <c r="AQ88" s="138" t="s">
        <v>86</v>
      </c>
      <c r="AV88" s="103">
        <f>AW88+AX88</f>
        <v>0</v>
      </c>
      <c r="AW88" s="103">
        <f>J88*AO88</f>
        <v>0</v>
      </c>
      <c r="AX88" s="103">
        <f>J88*AP88</f>
        <v>0</v>
      </c>
      <c r="AY88" s="138" t="s">
        <v>370</v>
      </c>
      <c r="AZ88" s="138" t="s">
        <v>320</v>
      </c>
      <c r="BA88" s="120" t="s">
        <v>143</v>
      </c>
      <c r="BC88" s="103">
        <f>AW88+AX88</f>
        <v>0</v>
      </c>
      <c r="BD88" s="103">
        <f>K88/(100-BE88)*100</f>
        <v>0</v>
      </c>
      <c r="BE88" s="103">
        <v>0</v>
      </c>
      <c r="BF88" s="103">
        <f>88</f>
        <v>88</v>
      </c>
      <c r="BH88" s="103">
        <f>J88*AO88</f>
        <v>0</v>
      </c>
      <c r="BI88" s="103">
        <f>J88*AP88</f>
        <v>0</v>
      </c>
      <c r="BJ88" s="103">
        <f>J88*K88</f>
        <v>0</v>
      </c>
      <c r="BK88" s="103" t="s">
        <v>144</v>
      </c>
      <c r="BL88" s="103" t="s">
        <v>365</v>
      </c>
    </row>
    <row r="89" spans="1:64" ht="21.75" customHeight="1">
      <c r="A89" s="104" t="s">
        <v>371</v>
      </c>
      <c r="B89" s="52" t="s">
        <v>372</v>
      </c>
      <c r="C89" s="52" t="s">
        <v>373</v>
      </c>
      <c r="D89" s="52"/>
      <c r="E89" s="52"/>
      <c r="F89" s="52"/>
      <c r="G89" s="52"/>
      <c r="H89" s="52"/>
      <c r="I89" s="52" t="s">
        <v>238</v>
      </c>
      <c r="J89" s="103">
        <v>30</v>
      </c>
      <c r="K89" s="136">
        <v>0</v>
      </c>
      <c r="L89" s="103">
        <f>J89*K89</f>
        <v>0</v>
      </c>
      <c r="M89" s="137" t="s">
        <v>140</v>
      </c>
      <c r="N89" s="86"/>
      <c r="Z89" s="103">
        <f>IF(AQ89="5",BJ89,0)</f>
        <v>0</v>
      </c>
      <c r="AB89" s="103">
        <f>IF(AQ89="1",BH89,0)</f>
        <v>0</v>
      </c>
      <c r="AC89" s="103">
        <f>IF(AQ89="1",BI89,0)</f>
        <v>0</v>
      </c>
      <c r="AD89" s="103">
        <f>IF(AQ89="7",BH89,0)</f>
        <v>0</v>
      </c>
      <c r="AE89" s="103">
        <f>IF(AQ89="7",BI89,0)</f>
        <v>0</v>
      </c>
      <c r="AF89" s="103">
        <f>IF(AQ89="2",BH89,0)</f>
        <v>0</v>
      </c>
      <c r="AG89" s="103">
        <f>IF(AQ89="2",BI89,0)</f>
        <v>0</v>
      </c>
      <c r="AH89" s="103">
        <f>IF(AQ89="0",BJ89,0)</f>
        <v>0</v>
      </c>
      <c r="AI89" s="120"/>
      <c r="AJ89" s="103">
        <f>IF(AN89=0,L89,0)</f>
        <v>0</v>
      </c>
      <c r="AK89" s="103">
        <f>IF(AN89=15,L89,0)</f>
        <v>0</v>
      </c>
      <c r="AL89" s="103">
        <f>IF(AN89=21,L89,0)</f>
        <v>0</v>
      </c>
      <c r="AN89" s="103">
        <v>21</v>
      </c>
      <c r="AO89" s="103">
        <f>K89*0.111111111111111</f>
        <v>0</v>
      </c>
      <c r="AP89" s="103">
        <f>K89*(1-0.111111111111111)</f>
        <v>0</v>
      </c>
      <c r="AQ89" s="138" t="s">
        <v>86</v>
      </c>
      <c r="AV89" s="103">
        <f>AW89+AX89</f>
        <v>0</v>
      </c>
      <c r="AW89" s="103">
        <f>J89*AO89</f>
        <v>0</v>
      </c>
      <c r="AX89" s="103">
        <f>J89*AP89</f>
        <v>0</v>
      </c>
      <c r="AY89" s="138" t="s">
        <v>370</v>
      </c>
      <c r="AZ89" s="138" t="s">
        <v>320</v>
      </c>
      <c r="BA89" s="120" t="s">
        <v>143</v>
      </c>
      <c r="BC89" s="103">
        <f>AW89+AX89</f>
        <v>0</v>
      </c>
      <c r="BD89" s="103">
        <f>K89/(100-BE89)*100</f>
        <v>0</v>
      </c>
      <c r="BE89" s="103">
        <v>0</v>
      </c>
      <c r="BF89" s="103">
        <f>89</f>
        <v>89</v>
      </c>
      <c r="BH89" s="103">
        <f>J89*AO89</f>
        <v>0</v>
      </c>
      <c r="BI89" s="103">
        <f>J89*AP89</f>
        <v>0</v>
      </c>
      <c r="BJ89" s="103">
        <f>J89*K89</f>
        <v>0</v>
      </c>
      <c r="BK89" s="103" t="s">
        <v>144</v>
      </c>
      <c r="BL89" s="103" t="s">
        <v>365</v>
      </c>
    </row>
    <row r="90" spans="1:47" ht="21.75" customHeight="1">
      <c r="A90" s="131"/>
      <c r="B90" s="132" t="s">
        <v>374</v>
      </c>
      <c r="C90" s="132" t="s">
        <v>375</v>
      </c>
      <c r="D90" s="132"/>
      <c r="E90" s="132"/>
      <c r="F90" s="132"/>
      <c r="G90" s="132"/>
      <c r="H90" s="132"/>
      <c r="I90" s="133" t="s">
        <v>76</v>
      </c>
      <c r="J90" s="133" t="s">
        <v>76</v>
      </c>
      <c r="K90" s="133" t="s">
        <v>76</v>
      </c>
      <c r="L90" s="134">
        <f>SUM(L91:L96)</f>
        <v>0</v>
      </c>
      <c r="M90" s="135"/>
      <c r="N90" s="86"/>
      <c r="AI90" s="120"/>
      <c r="AS90" s="134">
        <f>SUM(AJ91:AJ96)</f>
        <v>0</v>
      </c>
      <c r="AT90" s="134">
        <f>SUM(AK91:AK96)</f>
        <v>0</v>
      </c>
      <c r="AU90" s="134">
        <f>SUM(AL91:AL96)</f>
        <v>0</v>
      </c>
    </row>
    <row r="91" spans="1:64" ht="21.75" customHeight="1">
      <c r="A91" s="104" t="s">
        <v>376</v>
      </c>
      <c r="B91" s="52" t="s">
        <v>377</v>
      </c>
      <c r="C91" s="52" t="s">
        <v>378</v>
      </c>
      <c r="D91" s="52"/>
      <c r="E91" s="52"/>
      <c r="F91" s="52"/>
      <c r="G91" s="52"/>
      <c r="H91" s="52"/>
      <c r="I91" s="52" t="s">
        <v>183</v>
      </c>
      <c r="J91" s="103">
        <v>5.5</v>
      </c>
      <c r="K91" s="136">
        <v>0</v>
      </c>
      <c r="L91" s="103">
        <f aca="true" t="shared" si="20" ref="L91:L96">J91*K91</f>
        <v>0</v>
      </c>
      <c r="M91" s="137" t="s">
        <v>140</v>
      </c>
      <c r="N91" s="86"/>
      <c r="Z91" s="103">
        <f aca="true" t="shared" si="21" ref="Z91:Z96">IF(AQ91="5",BJ91,0)</f>
        <v>0</v>
      </c>
      <c r="AB91" s="103">
        <f aca="true" t="shared" si="22" ref="AB91:AB96">IF(AQ91="1",BH91,0)</f>
        <v>0</v>
      </c>
      <c r="AC91" s="103">
        <f aca="true" t="shared" si="23" ref="AC91:AC96">IF(AQ91="1",BI91,0)</f>
        <v>0</v>
      </c>
      <c r="AD91" s="103">
        <f aca="true" t="shared" si="24" ref="AD91:AD96">IF(AQ91="7",BH91,0)</f>
        <v>0</v>
      </c>
      <c r="AE91" s="103">
        <f aca="true" t="shared" si="25" ref="AE91:AE96">IF(AQ91="7",BI91,0)</f>
        <v>0</v>
      </c>
      <c r="AF91" s="103">
        <f aca="true" t="shared" si="26" ref="AF91:AF96">IF(AQ91="2",BH91,0)</f>
        <v>0</v>
      </c>
      <c r="AG91" s="103">
        <f aca="true" t="shared" si="27" ref="AG91:AG96">IF(AQ91="2",BI91,0)</f>
        <v>0</v>
      </c>
      <c r="AH91" s="103">
        <f aca="true" t="shared" si="28" ref="AH91:AH96">IF(AQ91="0",BJ91,0)</f>
        <v>0</v>
      </c>
      <c r="AI91" s="120"/>
      <c r="AJ91" s="103">
        <f aca="true" t="shared" si="29" ref="AJ91:AJ96">IF(AN91=0,L91,0)</f>
        <v>0</v>
      </c>
      <c r="AK91" s="103">
        <f aca="true" t="shared" si="30" ref="AK91:AK96">IF(AN91=15,L91,0)</f>
        <v>0</v>
      </c>
      <c r="AL91" s="103">
        <f aca="true" t="shared" si="31" ref="AL91:AL96">IF(AN91=21,L91,0)</f>
        <v>0</v>
      </c>
      <c r="AN91" s="103">
        <v>21</v>
      </c>
      <c r="AO91" s="103">
        <f aca="true" t="shared" si="32" ref="AO91:AO96">K91*0</f>
        <v>0</v>
      </c>
      <c r="AP91" s="103">
        <f aca="true" t="shared" si="33" ref="AP91:AP96">K91*(1-0)</f>
        <v>0</v>
      </c>
      <c r="AQ91" s="138" t="s">
        <v>155</v>
      </c>
      <c r="AV91" s="103">
        <f aca="true" t="shared" si="34" ref="AV91:AV96">AW91+AX91</f>
        <v>0</v>
      </c>
      <c r="AW91" s="103">
        <f aca="true" t="shared" si="35" ref="AW91:AW96">J91*AO91</f>
        <v>0</v>
      </c>
      <c r="AX91" s="103">
        <f aca="true" t="shared" si="36" ref="AX91:AX96">J91*AP91</f>
        <v>0</v>
      </c>
      <c r="AY91" s="138" t="s">
        <v>379</v>
      </c>
      <c r="AZ91" s="138" t="s">
        <v>320</v>
      </c>
      <c r="BA91" s="120" t="s">
        <v>143</v>
      </c>
      <c r="BC91" s="103">
        <f aca="true" t="shared" si="37" ref="BC91:BC96">AW91+AX91</f>
        <v>0</v>
      </c>
      <c r="BD91" s="103">
        <f aca="true" t="shared" si="38" ref="BD91:BD96">K91/(100-BE91)*100</f>
        <v>0</v>
      </c>
      <c r="BE91" s="103">
        <v>0</v>
      </c>
      <c r="BF91" s="103">
        <f>91</f>
        <v>91</v>
      </c>
      <c r="BH91" s="103">
        <f aca="true" t="shared" si="39" ref="BH91:BH96">J91*AO91</f>
        <v>0</v>
      </c>
      <c r="BI91" s="103">
        <f aca="true" t="shared" si="40" ref="BI91:BI96">J91*AP91</f>
        <v>0</v>
      </c>
      <c r="BJ91" s="103">
        <f aca="true" t="shared" si="41" ref="BJ91:BJ96">J91*K91</f>
        <v>0</v>
      </c>
      <c r="BK91" s="103" t="s">
        <v>144</v>
      </c>
      <c r="BL91" s="103" t="s">
        <v>374</v>
      </c>
    </row>
    <row r="92" spans="1:64" ht="21.75" customHeight="1">
      <c r="A92" s="104" t="s">
        <v>380</v>
      </c>
      <c r="B92" s="52" t="s">
        <v>381</v>
      </c>
      <c r="C92" s="52" t="s">
        <v>382</v>
      </c>
      <c r="D92" s="52"/>
      <c r="E92" s="52"/>
      <c r="F92" s="52"/>
      <c r="G92" s="52"/>
      <c r="H92" s="52"/>
      <c r="I92" s="52" t="s">
        <v>183</v>
      </c>
      <c r="J92" s="103">
        <v>16.5</v>
      </c>
      <c r="K92" s="136">
        <v>0</v>
      </c>
      <c r="L92" s="103">
        <f t="shared" si="20"/>
        <v>0</v>
      </c>
      <c r="M92" s="137" t="s">
        <v>140</v>
      </c>
      <c r="N92" s="86"/>
      <c r="Z92" s="103">
        <f t="shared" si="21"/>
        <v>0</v>
      </c>
      <c r="AB92" s="103">
        <f t="shared" si="22"/>
        <v>0</v>
      </c>
      <c r="AC92" s="103">
        <f t="shared" si="23"/>
        <v>0</v>
      </c>
      <c r="AD92" s="103">
        <f t="shared" si="24"/>
        <v>0</v>
      </c>
      <c r="AE92" s="103">
        <f t="shared" si="25"/>
        <v>0</v>
      </c>
      <c r="AF92" s="103">
        <f t="shared" si="26"/>
        <v>0</v>
      </c>
      <c r="AG92" s="103">
        <f t="shared" si="27"/>
        <v>0</v>
      </c>
      <c r="AH92" s="103">
        <f t="shared" si="28"/>
        <v>0</v>
      </c>
      <c r="AI92" s="120"/>
      <c r="AJ92" s="103">
        <f t="shared" si="29"/>
        <v>0</v>
      </c>
      <c r="AK92" s="103">
        <f t="shared" si="30"/>
        <v>0</v>
      </c>
      <c r="AL92" s="103">
        <f t="shared" si="31"/>
        <v>0</v>
      </c>
      <c r="AN92" s="103">
        <v>21</v>
      </c>
      <c r="AO92" s="103">
        <f t="shared" si="32"/>
        <v>0</v>
      </c>
      <c r="AP92" s="103">
        <f t="shared" si="33"/>
        <v>0</v>
      </c>
      <c r="AQ92" s="138" t="s">
        <v>155</v>
      </c>
      <c r="AV92" s="103">
        <f t="shared" si="34"/>
        <v>0</v>
      </c>
      <c r="AW92" s="103">
        <f t="shared" si="35"/>
        <v>0</v>
      </c>
      <c r="AX92" s="103">
        <f t="shared" si="36"/>
        <v>0</v>
      </c>
      <c r="AY92" s="138" t="s">
        <v>379</v>
      </c>
      <c r="AZ92" s="138" t="s">
        <v>320</v>
      </c>
      <c r="BA92" s="120" t="s">
        <v>143</v>
      </c>
      <c r="BC92" s="103">
        <f t="shared" si="37"/>
        <v>0</v>
      </c>
      <c r="BD92" s="103">
        <f t="shared" si="38"/>
        <v>0</v>
      </c>
      <c r="BE92" s="103">
        <v>0</v>
      </c>
      <c r="BF92" s="103">
        <f>92</f>
        <v>92</v>
      </c>
      <c r="BH92" s="103">
        <f t="shared" si="39"/>
        <v>0</v>
      </c>
      <c r="BI92" s="103">
        <f t="shared" si="40"/>
        <v>0</v>
      </c>
      <c r="BJ92" s="103">
        <f t="shared" si="41"/>
        <v>0</v>
      </c>
      <c r="BK92" s="103" t="s">
        <v>144</v>
      </c>
      <c r="BL92" s="103" t="s">
        <v>374</v>
      </c>
    </row>
    <row r="93" spans="1:64" ht="21.75" customHeight="1">
      <c r="A93" s="104" t="s">
        <v>383</v>
      </c>
      <c r="B93" s="52" t="s">
        <v>384</v>
      </c>
      <c r="C93" s="52" t="s">
        <v>385</v>
      </c>
      <c r="D93" s="52"/>
      <c r="E93" s="52"/>
      <c r="F93" s="52"/>
      <c r="G93" s="52"/>
      <c r="H93" s="52"/>
      <c r="I93" s="52" t="s">
        <v>183</v>
      </c>
      <c r="J93" s="103">
        <v>5.5</v>
      </c>
      <c r="K93" s="136">
        <v>0</v>
      </c>
      <c r="L93" s="103">
        <f t="shared" si="20"/>
        <v>0</v>
      </c>
      <c r="M93" s="137" t="s">
        <v>140</v>
      </c>
      <c r="N93" s="86"/>
      <c r="Z93" s="103">
        <f t="shared" si="21"/>
        <v>0</v>
      </c>
      <c r="AB93" s="103">
        <f t="shared" si="22"/>
        <v>0</v>
      </c>
      <c r="AC93" s="103">
        <f t="shared" si="23"/>
        <v>0</v>
      </c>
      <c r="AD93" s="103">
        <f t="shared" si="24"/>
        <v>0</v>
      </c>
      <c r="AE93" s="103">
        <f t="shared" si="25"/>
        <v>0</v>
      </c>
      <c r="AF93" s="103">
        <f t="shared" si="26"/>
        <v>0</v>
      </c>
      <c r="AG93" s="103">
        <f t="shared" si="27"/>
        <v>0</v>
      </c>
      <c r="AH93" s="103">
        <f t="shared" si="28"/>
        <v>0</v>
      </c>
      <c r="AI93" s="120"/>
      <c r="AJ93" s="103">
        <f t="shared" si="29"/>
        <v>0</v>
      </c>
      <c r="AK93" s="103">
        <f t="shared" si="30"/>
        <v>0</v>
      </c>
      <c r="AL93" s="103">
        <f t="shared" si="31"/>
        <v>0</v>
      </c>
      <c r="AN93" s="103">
        <v>21</v>
      </c>
      <c r="AO93" s="103">
        <f t="shared" si="32"/>
        <v>0</v>
      </c>
      <c r="AP93" s="103">
        <f t="shared" si="33"/>
        <v>0</v>
      </c>
      <c r="AQ93" s="138" t="s">
        <v>155</v>
      </c>
      <c r="AV93" s="103">
        <f t="shared" si="34"/>
        <v>0</v>
      </c>
      <c r="AW93" s="103">
        <f t="shared" si="35"/>
        <v>0</v>
      </c>
      <c r="AX93" s="103">
        <f t="shared" si="36"/>
        <v>0</v>
      </c>
      <c r="AY93" s="138" t="s">
        <v>379</v>
      </c>
      <c r="AZ93" s="138" t="s">
        <v>320</v>
      </c>
      <c r="BA93" s="120" t="s">
        <v>143</v>
      </c>
      <c r="BC93" s="103">
        <f t="shared" si="37"/>
        <v>0</v>
      </c>
      <c r="BD93" s="103">
        <f t="shared" si="38"/>
        <v>0</v>
      </c>
      <c r="BE93" s="103">
        <v>0</v>
      </c>
      <c r="BF93" s="103">
        <f>93</f>
        <v>93</v>
      </c>
      <c r="BH93" s="103">
        <f t="shared" si="39"/>
        <v>0</v>
      </c>
      <c r="BI93" s="103">
        <f t="shared" si="40"/>
        <v>0</v>
      </c>
      <c r="BJ93" s="103">
        <f t="shared" si="41"/>
        <v>0</v>
      </c>
      <c r="BK93" s="103" t="s">
        <v>144</v>
      </c>
      <c r="BL93" s="103" t="s">
        <v>374</v>
      </c>
    </row>
    <row r="94" spans="1:64" ht="21.75" customHeight="1">
      <c r="A94" s="104" t="s">
        <v>386</v>
      </c>
      <c r="B94" s="52" t="s">
        <v>387</v>
      </c>
      <c r="C94" s="52" t="s">
        <v>388</v>
      </c>
      <c r="D94" s="52"/>
      <c r="E94" s="52"/>
      <c r="F94" s="52"/>
      <c r="G94" s="52"/>
      <c r="H94" s="52"/>
      <c r="I94" s="52" t="s">
        <v>183</v>
      </c>
      <c r="J94" s="103">
        <v>137.5</v>
      </c>
      <c r="K94" s="136">
        <v>0</v>
      </c>
      <c r="L94" s="103">
        <f t="shared" si="20"/>
        <v>0</v>
      </c>
      <c r="M94" s="137" t="s">
        <v>140</v>
      </c>
      <c r="N94" s="86"/>
      <c r="Z94" s="103">
        <f t="shared" si="21"/>
        <v>0</v>
      </c>
      <c r="AB94" s="103">
        <f t="shared" si="22"/>
        <v>0</v>
      </c>
      <c r="AC94" s="103">
        <f t="shared" si="23"/>
        <v>0</v>
      </c>
      <c r="AD94" s="103">
        <f t="shared" si="24"/>
        <v>0</v>
      </c>
      <c r="AE94" s="103">
        <f t="shared" si="25"/>
        <v>0</v>
      </c>
      <c r="AF94" s="103">
        <f t="shared" si="26"/>
        <v>0</v>
      </c>
      <c r="AG94" s="103">
        <f t="shared" si="27"/>
        <v>0</v>
      </c>
      <c r="AH94" s="103">
        <f t="shared" si="28"/>
        <v>0</v>
      </c>
      <c r="AI94" s="120"/>
      <c r="AJ94" s="103">
        <f t="shared" si="29"/>
        <v>0</v>
      </c>
      <c r="AK94" s="103">
        <f t="shared" si="30"/>
        <v>0</v>
      </c>
      <c r="AL94" s="103">
        <f t="shared" si="31"/>
        <v>0</v>
      </c>
      <c r="AN94" s="103">
        <v>21</v>
      </c>
      <c r="AO94" s="103">
        <f t="shared" si="32"/>
        <v>0</v>
      </c>
      <c r="AP94" s="103">
        <f t="shared" si="33"/>
        <v>0</v>
      </c>
      <c r="AQ94" s="138" t="s">
        <v>155</v>
      </c>
      <c r="AV94" s="103">
        <f t="shared" si="34"/>
        <v>0</v>
      </c>
      <c r="AW94" s="103">
        <f t="shared" si="35"/>
        <v>0</v>
      </c>
      <c r="AX94" s="103">
        <f t="shared" si="36"/>
        <v>0</v>
      </c>
      <c r="AY94" s="138" t="s">
        <v>379</v>
      </c>
      <c r="AZ94" s="138" t="s">
        <v>320</v>
      </c>
      <c r="BA94" s="120" t="s">
        <v>143</v>
      </c>
      <c r="BC94" s="103">
        <f t="shared" si="37"/>
        <v>0</v>
      </c>
      <c r="BD94" s="103">
        <f t="shared" si="38"/>
        <v>0</v>
      </c>
      <c r="BE94" s="103">
        <v>0</v>
      </c>
      <c r="BF94" s="103">
        <f>94</f>
        <v>94</v>
      </c>
      <c r="BH94" s="103">
        <f t="shared" si="39"/>
        <v>0</v>
      </c>
      <c r="BI94" s="103">
        <f t="shared" si="40"/>
        <v>0</v>
      </c>
      <c r="BJ94" s="103">
        <f t="shared" si="41"/>
        <v>0</v>
      </c>
      <c r="BK94" s="103" t="s">
        <v>144</v>
      </c>
      <c r="BL94" s="103" t="s">
        <v>374</v>
      </c>
    </row>
    <row r="95" spans="1:64" ht="21.75" customHeight="1">
      <c r="A95" s="104" t="s">
        <v>389</v>
      </c>
      <c r="B95" s="52" t="s">
        <v>390</v>
      </c>
      <c r="C95" s="52" t="s">
        <v>391</v>
      </c>
      <c r="D95" s="52"/>
      <c r="E95" s="52"/>
      <c r="F95" s="52"/>
      <c r="G95" s="52"/>
      <c r="H95" s="52"/>
      <c r="I95" s="52" t="s">
        <v>183</v>
      </c>
      <c r="J95" s="103">
        <v>5.5</v>
      </c>
      <c r="K95" s="136">
        <v>0</v>
      </c>
      <c r="L95" s="103">
        <f t="shared" si="20"/>
        <v>0</v>
      </c>
      <c r="M95" s="137" t="s">
        <v>140</v>
      </c>
      <c r="N95" s="86"/>
      <c r="Z95" s="103">
        <f t="shared" si="21"/>
        <v>0</v>
      </c>
      <c r="AB95" s="103">
        <f t="shared" si="22"/>
        <v>0</v>
      </c>
      <c r="AC95" s="103">
        <f t="shared" si="23"/>
        <v>0</v>
      </c>
      <c r="AD95" s="103">
        <f t="shared" si="24"/>
        <v>0</v>
      </c>
      <c r="AE95" s="103">
        <f t="shared" si="25"/>
        <v>0</v>
      </c>
      <c r="AF95" s="103">
        <f t="shared" si="26"/>
        <v>0</v>
      </c>
      <c r="AG95" s="103">
        <f t="shared" si="27"/>
        <v>0</v>
      </c>
      <c r="AH95" s="103">
        <f t="shared" si="28"/>
        <v>0</v>
      </c>
      <c r="AI95" s="120"/>
      <c r="AJ95" s="103">
        <f t="shared" si="29"/>
        <v>0</v>
      </c>
      <c r="AK95" s="103">
        <f t="shared" si="30"/>
        <v>0</v>
      </c>
      <c r="AL95" s="103">
        <f t="shared" si="31"/>
        <v>0</v>
      </c>
      <c r="AN95" s="103">
        <v>21</v>
      </c>
      <c r="AO95" s="103">
        <f t="shared" si="32"/>
        <v>0</v>
      </c>
      <c r="AP95" s="103">
        <f t="shared" si="33"/>
        <v>0</v>
      </c>
      <c r="AQ95" s="138" t="s">
        <v>155</v>
      </c>
      <c r="AV95" s="103">
        <f t="shared" si="34"/>
        <v>0</v>
      </c>
      <c r="AW95" s="103">
        <f t="shared" si="35"/>
        <v>0</v>
      </c>
      <c r="AX95" s="103">
        <f t="shared" si="36"/>
        <v>0</v>
      </c>
      <c r="AY95" s="138" t="s">
        <v>379</v>
      </c>
      <c r="AZ95" s="138" t="s">
        <v>320</v>
      </c>
      <c r="BA95" s="120" t="s">
        <v>143</v>
      </c>
      <c r="BC95" s="103">
        <f t="shared" si="37"/>
        <v>0</v>
      </c>
      <c r="BD95" s="103">
        <f t="shared" si="38"/>
        <v>0</v>
      </c>
      <c r="BE95" s="103">
        <v>0</v>
      </c>
      <c r="BF95" s="103">
        <f>95</f>
        <v>95</v>
      </c>
      <c r="BH95" s="103">
        <f t="shared" si="39"/>
        <v>0</v>
      </c>
      <c r="BI95" s="103">
        <f t="shared" si="40"/>
        <v>0</v>
      </c>
      <c r="BJ95" s="103">
        <f t="shared" si="41"/>
        <v>0</v>
      </c>
      <c r="BK95" s="103" t="s">
        <v>144</v>
      </c>
      <c r="BL95" s="103" t="s">
        <v>374</v>
      </c>
    </row>
    <row r="96" spans="1:64" ht="21.75" customHeight="1">
      <c r="A96" s="106" t="s">
        <v>13</v>
      </c>
      <c r="B96" s="55" t="s">
        <v>392</v>
      </c>
      <c r="C96" s="55" t="s">
        <v>393</v>
      </c>
      <c r="D96" s="55"/>
      <c r="E96" s="55"/>
      <c r="F96" s="55"/>
      <c r="G96" s="55"/>
      <c r="H96" s="55"/>
      <c r="I96" s="55" t="s">
        <v>183</v>
      </c>
      <c r="J96" s="139">
        <v>5.5</v>
      </c>
      <c r="K96" s="140">
        <v>0</v>
      </c>
      <c r="L96" s="139">
        <f t="shared" si="20"/>
        <v>0</v>
      </c>
      <c r="M96" s="141" t="s">
        <v>140</v>
      </c>
      <c r="N96" s="86"/>
      <c r="Z96" s="103">
        <f t="shared" si="21"/>
        <v>0</v>
      </c>
      <c r="AB96" s="103">
        <f t="shared" si="22"/>
        <v>0</v>
      </c>
      <c r="AC96" s="103">
        <f t="shared" si="23"/>
        <v>0</v>
      </c>
      <c r="AD96" s="103">
        <f t="shared" si="24"/>
        <v>0</v>
      </c>
      <c r="AE96" s="103">
        <f t="shared" si="25"/>
        <v>0</v>
      </c>
      <c r="AF96" s="103">
        <f t="shared" si="26"/>
        <v>0</v>
      </c>
      <c r="AG96" s="103">
        <f t="shared" si="27"/>
        <v>0</v>
      </c>
      <c r="AH96" s="103">
        <f t="shared" si="28"/>
        <v>0</v>
      </c>
      <c r="AI96" s="120"/>
      <c r="AJ96" s="103">
        <f t="shared" si="29"/>
        <v>0</v>
      </c>
      <c r="AK96" s="103">
        <f t="shared" si="30"/>
        <v>0</v>
      </c>
      <c r="AL96" s="103">
        <f t="shared" si="31"/>
        <v>0</v>
      </c>
      <c r="AN96" s="103">
        <v>21</v>
      </c>
      <c r="AO96" s="103">
        <f t="shared" si="32"/>
        <v>0</v>
      </c>
      <c r="AP96" s="103">
        <f t="shared" si="33"/>
        <v>0</v>
      </c>
      <c r="AQ96" s="138" t="s">
        <v>155</v>
      </c>
      <c r="AV96" s="103">
        <f t="shared" si="34"/>
        <v>0</v>
      </c>
      <c r="AW96" s="103">
        <f t="shared" si="35"/>
        <v>0</v>
      </c>
      <c r="AX96" s="103">
        <f t="shared" si="36"/>
        <v>0</v>
      </c>
      <c r="AY96" s="138" t="s">
        <v>379</v>
      </c>
      <c r="AZ96" s="138" t="s">
        <v>320</v>
      </c>
      <c r="BA96" s="120" t="s">
        <v>143</v>
      </c>
      <c r="BC96" s="103">
        <f t="shared" si="37"/>
        <v>0</v>
      </c>
      <c r="BD96" s="103">
        <f t="shared" si="38"/>
        <v>0</v>
      </c>
      <c r="BE96" s="103">
        <v>0</v>
      </c>
      <c r="BF96" s="103">
        <f>96</f>
        <v>96</v>
      </c>
      <c r="BH96" s="103">
        <f t="shared" si="39"/>
        <v>0</v>
      </c>
      <c r="BI96" s="103">
        <f t="shared" si="40"/>
        <v>0</v>
      </c>
      <c r="BJ96" s="103">
        <f t="shared" si="41"/>
        <v>0</v>
      </c>
      <c r="BK96" s="103" t="s">
        <v>144</v>
      </c>
      <c r="BL96" s="103" t="s">
        <v>374</v>
      </c>
    </row>
    <row r="97" spans="1:13" ht="21.7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109">
        <f>L13+L16+L21+L24+L29+L33+L35+L37+L39+L41+L43+L45+L61+L63+L69+L71+L73+L75+L78+L80+L83+L85+L87+L90</f>
        <v>0</v>
      </c>
      <c r="M97" s="26"/>
    </row>
    <row r="98" ht="21.75" customHeight="1">
      <c r="A98" s="110" t="s">
        <v>58</v>
      </c>
    </row>
    <row r="99" spans="1:13" ht="21.75" customHeight="1">
      <c r="A99" s="48" t="s">
        <v>103</v>
      </c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</row>
    <row r="100" ht="21.75" customHeight="1">
      <c r="A100" s="1" t="s">
        <v>60</v>
      </c>
    </row>
    <row r="101" ht="21.75" customHeight="1"/>
    <row r="102" ht="21.75" customHeight="1"/>
  </sheetData>
  <sheetProtection sheet="1"/>
  <mergeCells count="113">
    <mergeCell ref="A1:M1"/>
    <mergeCell ref="A2:B3"/>
    <mergeCell ref="C2:D3"/>
    <mergeCell ref="E2:F3"/>
    <mergeCell ref="G2:G3"/>
    <mergeCell ref="H2:H3"/>
    <mergeCell ref="I2:M3"/>
    <mergeCell ref="A4:B5"/>
    <mergeCell ref="C4:D5"/>
    <mergeCell ref="E4:F5"/>
    <mergeCell ref="G4:G5"/>
    <mergeCell ref="H4:H5"/>
    <mergeCell ref="I4:M5"/>
    <mergeCell ref="A6:B7"/>
    <mergeCell ref="C6:D7"/>
    <mergeCell ref="E6:F7"/>
    <mergeCell ref="G6:G7"/>
    <mergeCell ref="H6:H7"/>
    <mergeCell ref="I6:M7"/>
    <mergeCell ref="A8:B9"/>
    <mergeCell ref="C8:D9"/>
    <mergeCell ref="E8:F9"/>
    <mergeCell ref="G8:G9"/>
    <mergeCell ref="H8:H9"/>
    <mergeCell ref="I8:M9"/>
    <mergeCell ref="C10:H10"/>
    <mergeCell ref="C11:H11"/>
    <mergeCell ref="C12:H12"/>
    <mergeCell ref="C13:H13"/>
    <mergeCell ref="C14:H14"/>
    <mergeCell ref="C15:H15"/>
    <mergeCell ref="C16:H16"/>
    <mergeCell ref="C17:H17"/>
    <mergeCell ref="C18:H18"/>
    <mergeCell ref="C19:H19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C33:H33"/>
    <mergeCell ref="C34:H34"/>
    <mergeCell ref="C35:H35"/>
    <mergeCell ref="C36:H36"/>
    <mergeCell ref="C37:H37"/>
    <mergeCell ref="C38:H38"/>
    <mergeCell ref="C39:H39"/>
    <mergeCell ref="C40:H40"/>
    <mergeCell ref="C41:H41"/>
    <mergeCell ref="C42:H42"/>
    <mergeCell ref="C43:H43"/>
    <mergeCell ref="C44:H44"/>
    <mergeCell ref="C45:H45"/>
    <mergeCell ref="C46:H46"/>
    <mergeCell ref="C47:H47"/>
    <mergeCell ref="C48:H48"/>
    <mergeCell ref="C49:H49"/>
    <mergeCell ref="C50:H50"/>
    <mergeCell ref="C51:H51"/>
    <mergeCell ref="C52:H52"/>
    <mergeCell ref="C53:H53"/>
    <mergeCell ref="C54:H54"/>
    <mergeCell ref="C55:H55"/>
    <mergeCell ref="C56:H56"/>
    <mergeCell ref="C57:H57"/>
    <mergeCell ref="C58:H58"/>
    <mergeCell ref="C59:H59"/>
    <mergeCell ref="C60:H60"/>
    <mergeCell ref="C61:H61"/>
    <mergeCell ref="C62:H62"/>
    <mergeCell ref="C63:H63"/>
    <mergeCell ref="C64:H64"/>
    <mergeCell ref="C65:H65"/>
    <mergeCell ref="C66:H66"/>
    <mergeCell ref="C67:H67"/>
    <mergeCell ref="C68:H68"/>
    <mergeCell ref="C69:H69"/>
    <mergeCell ref="C70:H70"/>
    <mergeCell ref="C71:H71"/>
    <mergeCell ref="C72:H72"/>
    <mergeCell ref="C73:H73"/>
    <mergeCell ref="C74:H74"/>
    <mergeCell ref="C75:H75"/>
    <mergeCell ref="C76:H76"/>
    <mergeCell ref="C77:H77"/>
    <mergeCell ref="C78:H78"/>
    <mergeCell ref="C79:H79"/>
    <mergeCell ref="C80:H80"/>
    <mergeCell ref="C81:H81"/>
    <mergeCell ref="C82:H82"/>
    <mergeCell ref="C83:H83"/>
    <mergeCell ref="C84:H84"/>
    <mergeCell ref="C85:H85"/>
    <mergeCell ref="C86:H86"/>
    <mergeCell ref="C87:H87"/>
    <mergeCell ref="C88:H88"/>
    <mergeCell ref="C89:H89"/>
    <mergeCell ref="C90:H90"/>
    <mergeCell ref="C91:H91"/>
    <mergeCell ref="C92:H92"/>
    <mergeCell ref="C93:H93"/>
    <mergeCell ref="C94:H94"/>
    <mergeCell ref="C95:H95"/>
    <mergeCell ref="C96:H96"/>
    <mergeCell ref="A99:M99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7"/>
  <sheetViews>
    <sheetView workbookViewId="0" topLeftCell="A1">
      <pane ySplit="10" topLeftCell="A11" activePane="bottomLeft" state="frozen"/>
      <selection pane="topLeft" activeCell="A1" sqref="A1"/>
      <selection pane="bottomLeft" activeCell="C8" sqref="C8"/>
    </sheetView>
  </sheetViews>
  <sheetFormatPr defaultColWidth="12.57421875" defaultRowHeight="12.75"/>
  <cols>
    <col min="1" max="2" width="9.140625" style="1" customWidth="1"/>
    <col min="3" max="3" width="13.28125" style="1" customWidth="1"/>
    <col min="4" max="4" width="42.8515625" style="1" customWidth="1"/>
    <col min="5" max="5" width="69.28125" style="1" customWidth="1"/>
    <col min="6" max="6" width="24.140625" style="1" customWidth="1"/>
    <col min="7" max="7" width="15.7109375" style="1" customWidth="1"/>
    <col min="8" max="8" width="18.140625" style="1" customWidth="1"/>
    <col min="9" max="16384" width="11.57421875" style="1" customWidth="1"/>
  </cols>
  <sheetData>
    <row r="1" spans="1:8" ht="72.75" customHeight="1">
      <c r="A1" s="81" t="s">
        <v>394</v>
      </c>
      <c r="B1" s="81"/>
      <c r="C1" s="81"/>
      <c r="D1" s="81"/>
      <c r="E1" s="81"/>
      <c r="F1" s="81"/>
      <c r="G1" s="81"/>
      <c r="H1" s="81"/>
    </row>
    <row r="2" spans="1:9" ht="12.75" customHeight="1">
      <c r="A2" s="82" t="s">
        <v>1</v>
      </c>
      <c r="B2" s="82"/>
      <c r="C2" s="83">
        <f>'Stavební rozpočet'!C2</f>
        <v>0</v>
      </c>
      <c r="D2" s="83"/>
      <c r="E2" s="84" t="s">
        <v>2</v>
      </c>
      <c r="F2" s="85">
        <f>'Stavební rozpočet'!I2</f>
        <v>0</v>
      </c>
      <c r="G2" s="85"/>
      <c r="H2" s="85"/>
      <c r="I2" s="86"/>
    </row>
    <row r="3" spans="1:9" ht="12.75">
      <c r="A3" s="82"/>
      <c r="B3" s="82"/>
      <c r="C3" s="83"/>
      <c r="D3" s="83"/>
      <c r="E3" s="84"/>
      <c r="F3" s="84"/>
      <c r="G3" s="85"/>
      <c r="H3" s="85"/>
      <c r="I3" s="86"/>
    </row>
    <row r="4" spans="1:9" ht="12.75" customHeight="1">
      <c r="A4" s="87" t="s">
        <v>5</v>
      </c>
      <c r="B4" s="87"/>
      <c r="C4" s="48">
        <f>'Stavební rozpočet'!C4</f>
        <v>0</v>
      </c>
      <c r="D4" s="48"/>
      <c r="E4" s="48" t="s">
        <v>6</v>
      </c>
      <c r="F4" s="88">
        <f>'Stavební rozpočet'!I4</f>
        <v>0</v>
      </c>
      <c r="G4" s="88"/>
      <c r="H4" s="88"/>
      <c r="I4" s="86"/>
    </row>
    <row r="5" spans="1:9" ht="12.75">
      <c r="A5" s="87"/>
      <c r="B5" s="87"/>
      <c r="C5" s="48"/>
      <c r="D5" s="48"/>
      <c r="E5" s="48"/>
      <c r="F5" s="48"/>
      <c r="G5" s="88"/>
      <c r="H5" s="88"/>
      <c r="I5" s="86"/>
    </row>
    <row r="6" spans="1:9" ht="12.75" customHeight="1">
      <c r="A6" s="87" t="s">
        <v>8</v>
      </c>
      <c r="B6" s="87"/>
      <c r="C6" s="48">
        <f>'Stavební rozpočet'!C6</f>
        <v>0</v>
      </c>
      <c r="D6" s="48"/>
      <c r="E6" s="48" t="s">
        <v>9</v>
      </c>
      <c r="F6" s="88">
        <f>'Stavební rozpočet'!I6</f>
        <v>0</v>
      </c>
      <c r="G6" s="88"/>
      <c r="H6" s="88"/>
      <c r="I6" s="86"/>
    </row>
    <row r="7" spans="1:9" ht="12.75">
      <c r="A7" s="87"/>
      <c r="B7" s="87"/>
      <c r="C7" s="48"/>
      <c r="D7" s="48"/>
      <c r="E7" s="48"/>
      <c r="F7" s="48"/>
      <c r="G7" s="88"/>
      <c r="H7" s="88"/>
      <c r="I7" s="86"/>
    </row>
    <row r="8" spans="1:9" ht="12.75" customHeight="1">
      <c r="A8" s="89" t="s">
        <v>15</v>
      </c>
      <c r="B8" s="89"/>
      <c r="C8" s="90">
        <f>'Stavební rozpočet'!I8</f>
        <v>0</v>
      </c>
      <c r="D8" s="90"/>
      <c r="E8" s="90" t="s">
        <v>75</v>
      </c>
      <c r="F8" s="91">
        <f>'Stavební rozpočet'!G8</f>
        <v>0</v>
      </c>
      <c r="G8" s="91"/>
      <c r="H8" s="91"/>
      <c r="I8" s="86"/>
    </row>
    <row r="9" spans="1:9" ht="12.75">
      <c r="A9" s="89"/>
      <c r="B9" s="89"/>
      <c r="C9" s="90"/>
      <c r="D9" s="90"/>
      <c r="E9" s="90"/>
      <c r="F9" s="90"/>
      <c r="G9" s="91"/>
      <c r="H9" s="91"/>
      <c r="I9" s="86"/>
    </row>
    <row r="10" spans="1:9" ht="12.75">
      <c r="A10" s="142" t="s">
        <v>113</v>
      </c>
      <c r="B10" s="143" t="s">
        <v>395</v>
      </c>
      <c r="C10" s="143" t="s">
        <v>78</v>
      </c>
      <c r="D10" s="143" t="s">
        <v>79</v>
      </c>
      <c r="E10" s="143"/>
      <c r="F10" s="143" t="s">
        <v>114</v>
      </c>
      <c r="G10" s="144" t="s">
        <v>115</v>
      </c>
      <c r="H10" s="145" t="s">
        <v>396</v>
      </c>
      <c r="I10" s="95"/>
    </row>
    <row r="11" spans="1:9" ht="12.75">
      <c r="A11" s="99" t="s">
        <v>83</v>
      </c>
      <c r="B11" s="100"/>
      <c r="C11" s="100" t="s">
        <v>137</v>
      </c>
      <c r="D11" s="100" t="s">
        <v>138</v>
      </c>
      <c r="E11" s="100"/>
      <c r="F11" s="100" t="s">
        <v>139</v>
      </c>
      <c r="G11" s="146">
        <v>7.68</v>
      </c>
      <c r="H11" s="101">
        <v>0</v>
      </c>
      <c r="I11" s="86"/>
    </row>
    <row r="12" spans="1:9" ht="12" customHeight="1">
      <c r="A12" s="104"/>
      <c r="B12" s="52"/>
      <c r="C12" s="52"/>
      <c r="D12" s="147" t="s">
        <v>397</v>
      </c>
      <c r="E12" s="147"/>
      <c r="F12" s="147"/>
      <c r="G12" s="148">
        <v>7.68</v>
      </c>
      <c r="H12" s="137"/>
      <c r="I12" s="86"/>
    </row>
    <row r="13" spans="1:9" ht="12.75">
      <c r="A13" s="104" t="s">
        <v>86</v>
      </c>
      <c r="B13" s="52"/>
      <c r="C13" s="52" t="s">
        <v>145</v>
      </c>
      <c r="D13" s="52" t="s">
        <v>146</v>
      </c>
      <c r="E13" s="52"/>
      <c r="F13" s="52" t="s">
        <v>139</v>
      </c>
      <c r="G13" s="103">
        <v>3.1</v>
      </c>
      <c r="H13" s="105">
        <v>0</v>
      </c>
      <c r="I13" s="86"/>
    </row>
    <row r="14" spans="1:9" ht="12" customHeight="1">
      <c r="A14" s="104"/>
      <c r="B14" s="52"/>
      <c r="C14" s="52"/>
      <c r="D14" s="147" t="s">
        <v>398</v>
      </c>
      <c r="E14" s="147"/>
      <c r="F14" s="147"/>
      <c r="G14" s="148">
        <v>1.5</v>
      </c>
      <c r="H14" s="137"/>
      <c r="I14" s="86"/>
    </row>
    <row r="15" spans="1:9" ht="12" customHeight="1">
      <c r="A15" s="104"/>
      <c r="B15" s="52"/>
      <c r="C15" s="52"/>
      <c r="D15" s="147" t="s">
        <v>399</v>
      </c>
      <c r="E15" s="147"/>
      <c r="F15" s="147"/>
      <c r="G15" s="148">
        <v>0.6</v>
      </c>
      <c r="H15" s="137"/>
      <c r="I15" s="86"/>
    </row>
    <row r="16" spans="1:9" ht="12" customHeight="1">
      <c r="A16" s="104"/>
      <c r="B16" s="52"/>
      <c r="C16" s="52"/>
      <c r="D16" s="147" t="s">
        <v>400</v>
      </c>
      <c r="E16" s="147"/>
      <c r="F16" s="147"/>
      <c r="G16" s="148">
        <v>1</v>
      </c>
      <c r="H16" s="137"/>
      <c r="I16" s="86"/>
    </row>
    <row r="17" spans="1:9" ht="12.75">
      <c r="A17" s="104" t="s">
        <v>88</v>
      </c>
      <c r="B17" s="52"/>
      <c r="C17" s="52" t="s">
        <v>149</v>
      </c>
      <c r="D17" s="52" t="s">
        <v>150</v>
      </c>
      <c r="E17" s="52"/>
      <c r="F17" s="52" t="s">
        <v>139</v>
      </c>
      <c r="G17" s="103">
        <v>17.12</v>
      </c>
      <c r="H17" s="105">
        <v>0</v>
      </c>
      <c r="I17" s="86"/>
    </row>
    <row r="18" spans="1:9" ht="12" customHeight="1">
      <c r="A18" s="104"/>
      <c r="B18" s="52"/>
      <c r="C18" s="52"/>
      <c r="D18" s="147" t="s">
        <v>401</v>
      </c>
      <c r="E18" s="147"/>
      <c r="F18" s="147"/>
      <c r="G18" s="148">
        <v>5.12</v>
      </c>
      <c r="H18" s="137"/>
      <c r="I18" s="86"/>
    </row>
    <row r="19" spans="1:9" ht="12" customHeight="1">
      <c r="A19" s="104"/>
      <c r="B19" s="52"/>
      <c r="C19" s="52"/>
      <c r="D19" s="147" t="s">
        <v>402</v>
      </c>
      <c r="E19" s="147"/>
      <c r="F19" s="147"/>
      <c r="G19" s="148">
        <v>6</v>
      </c>
      <c r="H19" s="137"/>
      <c r="I19" s="86"/>
    </row>
    <row r="20" spans="1:9" ht="12" customHeight="1">
      <c r="A20" s="104"/>
      <c r="B20" s="52"/>
      <c r="C20" s="52"/>
      <c r="D20" s="147" t="s">
        <v>90</v>
      </c>
      <c r="E20" s="147"/>
      <c r="F20" s="147"/>
      <c r="G20" s="148">
        <v>6</v>
      </c>
      <c r="H20" s="137"/>
      <c r="I20" s="86"/>
    </row>
    <row r="21" spans="1:9" ht="12.75">
      <c r="A21" s="104" t="s">
        <v>152</v>
      </c>
      <c r="B21" s="52"/>
      <c r="C21" s="52" t="s">
        <v>153</v>
      </c>
      <c r="D21" s="52" t="s">
        <v>154</v>
      </c>
      <c r="E21" s="52"/>
      <c r="F21" s="52" t="s">
        <v>139</v>
      </c>
      <c r="G21" s="103">
        <v>11.12</v>
      </c>
      <c r="H21" s="105">
        <v>0</v>
      </c>
      <c r="I21" s="86"/>
    </row>
    <row r="22" spans="1:9" ht="12" customHeight="1">
      <c r="A22" s="104"/>
      <c r="B22" s="52"/>
      <c r="C22" s="52"/>
      <c r="D22" s="147" t="s">
        <v>403</v>
      </c>
      <c r="E22" s="147"/>
      <c r="F22" s="147"/>
      <c r="G22" s="148">
        <v>11.12</v>
      </c>
      <c r="H22" s="137"/>
      <c r="I22" s="86"/>
    </row>
    <row r="23" spans="1:9" ht="12.75">
      <c r="A23" s="104" t="s">
        <v>155</v>
      </c>
      <c r="B23" s="52"/>
      <c r="C23" s="52" t="s">
        <v>156</v>
      </c>
      <c r="D23" s="52" t="s">
        <v>157</v>
      </c>
      <c r="E23" s="52"/>
      <c r="F23" s="52" t="s">
        <v>139</v>
      </c>
      <c r="G23" s="103">
        <v>17.12</v>
      </c>
      <c r="H23" s="105">
        <v>0</v>
      </c>
      <c r="I23" s="86"/>
    </row>
    <row r="24" spans="1:9" ht="12" customHeight="1">
      <c r="A24" s="104"/>
      <c r="B24" s="52"/>
      <c r="C24" s="52"/>
      <c r="D24" s="147" t="s">
        <v>404</v>
      </c>
      <c r="E24" s="147"/>
      <c r="F24" s="147"/>
      <c r="G24" s="148">
        <v>17.12</v>
      </c>
      <c r="H24" s="137"/>
      <c r="I24" s="86"/>
    </row>
    <row r="25" spans="1:9" ht="12.75">
      <c r="A25" s="104" t="s">
        <v>90</v>
      </c>
      <c r="B25" s="52"/>
      <c r="C25" s="52" t="s">
        <v>158</v>
      </c>
      <c r="D25" s="52" t="s">
        <v>159</v>
      </c>
      <c r="E25" s="52"/>
      <c r="F25" s="52" t="s">
        <v>139</v>
      </c>
      <c r="G25" s="103">
        <v>22.24</v>
      </c>
      <c r="H25" s="105">
        <v>0</v>
      </c>
      <c r="I25" s="86"/>
    </row>
    <row r="26" spans="1:9" ht="12" customHeight="1">
      <c r="A26" s="104"/>
      <c r="B26" s="52"/>
      <c r="C26" s="52"/>
      <c r="D26" s="147" t="s">
        <v>405</v>
      </c>
      <c r="E26" s="147"/>
      <c r="F26" s="147"/>
      <c r="G26" s="148">
        <v>22.24</v>
      </c>
      <c r="H26" s="137"/>
      <c r="I26" s="86"/>
    </row>
    <row r="27" spans="1:9" ht="12.75">
      <c r="A27" s="104" t="s">
        <v>162</v>
      </c>
      <c r="B27" s="52"/>
      <c r="C27" s="52" t="s">
        <v>163</v>
      </c>
      <c r="D27" s="52" t="s">
        <v>164</v>
      </c>
      <c r="E27" s="52"/>
      <c r="F27" s="52" t="s">
        <v>165</v>
      </c>
      <c r="G27" s="103">
        <v>11.2</v>
      </c>
      <c r="H27" s="105">
        <v>0</v>
      </c>
      <c r="I27" s="86"/>
    </row>
    <row r="28" spans="1:9" ht="12" customHeight="1">
      <c r="A28" s="104"/>
      <c r="B28" s="52"/>
      <c r="C28" s="52"/>
      <c r="D28" s="147" t="s">
        <v>406</v>
      </c>
      <c r="E28" s="147"/>
      <c r="F28" s="147"/>
      <c r="G28" s="148">
        <v>11.2</v>
      </c>
      <c r="H28" s="137"/>
      <c r="I28" s="86"/>
    </row>
    <row r="29" spans="1:9" ht="12.75">
      <c r="A29" s="104" t="s">
        <v>98</v>
      </c>
      <c r="B29" s="52"/>
      <c r="C29" s="52" t="s">
        <v>167</v>
      </c>
      <c r="D29" s="52" t="s">
        <v>168</v>
      </c>
      <c r="E29" s="52"/>
      <c r="F29" s="52" t="s">
        <v>165</v>
      </c>
      <c r="G29" s="103">
        <v>11.2</v>
      </c>
      <c r="H29" s="105">
        <v>0</v>
      </c>
      <c r="I29" s="86"/>
    </row>
    <row r="30" spans="1:9" ht="12" customHeight="1">
      <c r="A30" s="104"/>
      <c r="B30" s="52"/>
      <c r="C30" s="52"/>
      <c r="D30" s="147" t="s">
        <v>407</v>
      </c>
      <c r="E30" s="147"/>
      <c r="F30" s="147"/>
      <c r="G30" s="148">
        <v>11.2</v>
      </c>
      <c r="H30" s="137"/>
      <c r="I30" s="86"/>
    </row>
    <row r="31" spans="1:9" ht="12.75">
      <c r="A31" s="104" t="s">
        <v>100</v>
      </c>
      <c r="B31" s="52"/>
      <c r="C31" s="52" t="s">
        <v>171</v>
      </c>
      <c r="D31" s="52" t="s">
        <v>172</v>
      </c>
      <c r="E31" s="52"/>
      <c r="F31" s="52" t="s">
        <v>139</v>
      </c>
      <c r="G31" s="103">
        <v>6.88</v>
      </c>
      <c r="H31" s="105">
        <v>0</v>
      </c>
      <c r="I31" s="86"/>
    </row>
    <row r="32" spans="1:9" ht="12" customHeight="1">
      <c r="A32" s="104"/>
      <c r="B32" s="52"/>
      <c r="C32" s="52"/>
      <c r="D32" s="147" t="s">
        <v>408</v>
      </c>
      <c r="E32" s="147"/>
      <c r="F32" s="147"/>
      <c r="G32" s="148">
        <v>6.88</v>
      </c>
      <c r="H32" s="137"/>
      <c r="I32" s="86"/>
    </row>
    <row r="33" spans="1:9" ht="12.75">
      <c r="A33" s="104" t="s">
        <v>174</v>
      </c>
      <c r="B33" s="52"/>
      <c r="C33" s="52" t="s">
        <v>175</v>
      </c>
      <c r="D33" s="52" t="s">
        <v>176</v>
      </c>
      <c r="E33" s="52"/>
      <c r="F33" s="52" t="s">
        <v>139</v>
      </c>
      <c r="G33" s="103">
        <v>16.3</v>
      </c>
      <c r="H33" s="105">
        <v>0</v>
      </c>
      <c r="I33" s="86"/>
    </row>
    <row r="34" spans="1:9" ht="12" customHeight="1">
      <c r="A34" s="104"/>
      <c r="B34" s="52"/>
      <c r="C34" s="52"/>
      <c r="D34" s="147" t="s">
        <v>409</v>
      </c>
      <c r="E34" s="147"/>
      <c r="F34" s="147"/>
      <c r="G34" s="148">
        <v>16.3</v>
      </c>
      <c r="H34" s="137"/>
      <c r="I34" s="86"/>
    </row>
    <row r="35" spans="1:9" ht="12.75">
      <c r="A35" s="104" t="s">
        <v>178</v>
      </c>
      <c r="B35" s="52"/>
      <c r="C35" s="52" t="s">
        <v>179</v>
      </c>
      <c r="D35" s="52" t="s">
        <v>180</v>
      </c>
      <c r="E35" s="52"/>
      <c r="F35" s="52" t="s">
        <v>139</v>
      </c>
      <c r="G35" s="103">
        <v>68.8</v>
      </c>
      <c r="H35" s="105">
        <v>0</v>
      </c>
      <c r="I35" s="86"/>
    </row>
    <row r="36" spans="1:9" ht="12" customHeight="1">
      <c r="A36" s="104"/>
      <c r="B36" s="52"/>
      <c r="C36" s="52"/>
      <c r="D36" s="147" t="s">
        <v>410</v>
      </c>
      <c r="E36" s="147"/>
      <c r="F36" s="147"/>
      <c r="G36" s="148">
        <v>68.8</v>
      </c>
      <c r="H36" s="137"/>
      <c r="I36" s="86"/>
    </row>
    <row r="37" spans="1:9" ht="12.75">
      <c r="A37" s="104" t="s">
        <v>135</v>
      </c>
      <c r="B37" s="52"/>
      <c r="C37" s="52" t="s">
        <v>181</v>
      </c>
      <c r="D37" s="52" t="s">
        <v>182</v>
      </c>
      <c r="E37" s="52"/>
      <c r="F37" s="52" t="s">
        <v>183</v>
      </c>
      <c r="G37" s="103">
        <v>6.88</v>
      </c>
      <c r="H37" s="105">
        <v>0</v>
      </c>
      <c r="I37" s="86"/>
    </row>
    <row r="38" spans="1:9" ht="12" customHeight="1">
      <c r="A38" s="104"/>
      <c r="B38" s="52"/>
      <c r="C38" s="52"/>
      <c r="D38" s="147" t="s">
        <v>408</v>
      </c>
      <c r="E38" s="147"/>
      <c r="F38" s="147"/>
      <c r="G38" s="148">
        <v>6.88</v>
      </c>
      <c r="H38" s="137"/>
      <c r="I38" s="86"/>
    </row>
    <row r="39" spans="1:9" ht="12.75">
      <c r="A39" s="104" t="s">
        <v>147</v>
      </c>
      <c r="B39" s="52"/>
      <c r="C39" s="52" t="s">
        <v>186</v>
      </c>
      <c r="D39" s="52" t="s">
        <v>187</v>
      </c>
      <c r="E39" s="52"/>
      <c r="F39" s="52" t="s">
        <v>139</v>
      </c>
      <c r="G39" s="103">
        <v>8.88</v>
      </c>
      <c r="H39" s="105">
        <v>0</v>
      </c>
      <c r="I39" s="86"/>
    </row>
    <row r="40" spans="1:9" ht="12" customHeight="1">
      <c r="A40" s="104"/>
      <c r="B40" s="52"/>
      <c r="C40" s="52"/>
      <c r="D40" s="147" t="s">
        <v>411</v>
      </c>
      <c r="E40" s="147"/>
      <c r="F40" s="147"/>
      <c r="G40" s="148">
        <v>2.88</v>
      </c>
      <c r="H40" s="137"/>
      <c r="I40" s="86"/>
    </row>
    <row r="41" spans="1:9" ht="12" customHeight="1">
      <c r="A41" s="104"/>
      <c r="B41" s="52"/>
      <c r="C41" s="52"/>
      <c r="D41" s="147" t="s">
        <v>86</v>
      </c>
      <c r="E41" s="147"/>
      <c r="F41" s="147"/>
      <c r="G41" s="148">
        <v>2</v>
      </c>
      <c r="H41" s="137"/>
      <c r="I41" s="86"/>
    </row>
    <row r="42" spans="1:9" ht="12" customHeight="1">
      <c r="A42" s="104"/>
      <c r="B42" s="52"/>
      <c r="C42" s="52"/>
      <c r="D42" s="147" t="s">
        <v>412</v>
      </c>
      <c r="E42" s="147"/>
      <c r="F42" s="147"/>
      <c r="G42" s="148">
        <v>4</v>
      </c>
      <c r="H42" s="137"/>
      <c r="I42" s="86"/>
    </row>
    <row r="43" spans="1:9" ht="12.75">
      <c r="A43" s="104" t="s">
        <v>190</v>
      </c>
      <c r="B43" s="52"/>
      <c r="C43" s="52" t="s">
        <v>191</v>
      </c>
      <c r="D43" s="52" t="s">
        <v>192</v>
      </c>
      <c r="E43" s="52"/>
      <c r="F43" s="52" t="s">
        <v>139</v>
      </c>
      <c r="G43" s="103">
        <v>12.88</v>
      </c>
      <c r="H43" s="105">
        <v>0</v>
      </c>
      <c r="I43" s="86"/>
    </row>
    <row r="44" spans="1:9" ht="12" customHeight="1">
      <c r="A44" s="104"/>
      <c r="B44" s="52"/>
      <c r="C44" s="52"/>
      <c r="D44" s="147" t="s">
        <v>413</v>
      </c>
      <c r="E44" s="147"/>
      <c r="F44" s="147"/>
      <c r="G44" s="148">
        <v>12.88</v>
      </c>
      <c r="H44" s="137"/>
      <c r="I44" s="86"/>
    </row>
    <row r="45" spans="1:9" ht="12.75">
      <c r="A45" s="104" t="s">
        <v>160</v>
      </c>
      <c r="B45" s="52"/>
      <c r="C45" s="52" t="s">
        <v>193</v>
      </c>
      <c r="D45" s="52" t="s">
        <v>194</v>
      </c>
      <c r="E45" s="52"/>
      <c r="F45" s="52" t="s">
        <v>139</v>
      </c>
      <c r="G45" s="103">
        <v>8.32</v>
      </c>
      <c r="H45" s="105">
        <v>0</v>
      </c>
      <c r="I45" s="86"/>
    </row>
    <row r="46" spans="1:9" ht="12" customHeight="1">
      <c r="A46" s="104"/>
      <c r="B46" s="52"/>
      <c r="C46" s="52"/>
      <c r="D46" s="147" t="s">
        <v>414</v>
      </c>
      <c r="E46" s="147"/>
      <c r="F46" s="147"/>
      <c r="G46" s="148">
        <v>8.32</v>
      </c>
      <c r="H46" s="137"/>
      <c r="I46" s="86"/>
    </row>
    <row r="47" spans="1:9" ht="12.75">
      <c r="A47" s="104" t="s">
        <v>169</v>
      </c>
      <c r="B47" s="52"/>
      <c r="C47" s="52" t="s">
        <v>197</v>
      </c>
      <c r="D47" s="52" t="s">
        <v>198</v>
      </c>
      <c r="E47" s="52"/>
      <c r="F47" s="52" t="s">
        <v>165</v>
      </c>
      <c r="G47" s="103">
        <v>10</v>
      </c>
      <c r="H47" s="105">
        <v>0</v>
      </c>
      <c r="I47" s="86"/>
    </row>
    <row r="48" spans="1:9" ht="12" customHeight="1">
      <c r="A48" s="104"/>
      <c r="B48" s="52"/>
      <c r="C48" s="52"/>
      <c r="D48" s="147" t="s">
        <v>174</v>
      </c>
      <c r="E48" s="147"/>
      <c r="F48" s="147"/>
      <c r="G48" s="148">
        <v>10</v>
      </c>
      <c r="H48" s="137"/>
      <c r="I48" s="86"/>
    </row>
    <row r="49" spans="1:9" ht="12.75">
      <c r="A49" s="104" t="s">
        <v>184</v>
      </c>
      <c r="B49" s="52"/>
      <c r="C49" s="52" t="s">
        <v>202</v>
      </c>
      <c r="D49" s="52" t="s">
        <v>203</v>
      </c>
      <c r="E49" s="52"/>
      <c r="F49" s="52" t="s">
        <v>139</v>
      </c>
      <c r="G49" s="103">
        <v>1.2</v>
      </c>
      <c r="H49" s="105">
        <v>0</v>
      </c>
      <c r="I49" s="86"/>
    </row>
    <row r="50" spans="1:9" ht="12" customHeight="1">
      <c r="A50" s="104"/>
      <c r="B50" s="52"/>
      <c r="C50" s="52"/>
      <c r="D50" s="147" t="s">
        <v>415</v>
      </c>
      <c r="E50" s="147"/>
      <c r="F50" s="147"/>
      <c r="G50" s="148">
        <v>1.2</v>
      </c>
      <c r="H50" s="137"/>
      <c r="I50" s="86"/>
    </row>
    <row r="51" spans="1:9" ht="12.75">
      <c r="A51" s="104" t="s">
        <v>195</v>
      </c>
      <c r="B51" s="52"/>
      <c r="C51" s="52" t="s">
        <v>208</v>
      </c>
      <c r="D51" s="52" t="s">
        <v>209</v>
      </c>
      <c r="E51" s="52"/>
      <c r="F51" s="52" t="s">
        <v>210</v>
      </c>
      <c r="G51" s="103">
        <v>14</v>
      </c>
      <c r="H51" s="105">
        <v>0</v>
      </c>
      <c r="I51" s="86"/>
    </row>
    <row r="52" spans="1:9" ht="12" customHeight="1">
      <c r="A52" s="104"/>
      <c r="B52" s="52"/>
      <c r="C52" s="52"/>
      <c r="D52" s="147" t="s">
        <v>190</v>
      </c>
      <c r="E52" s="147"/>
      <c r="F52" s="147"/>
      <c r="G52" s="148">
        <v>14</v>
      </c>
      <c r="H52" s="137"/>
      <c r="I52" s="86"/>
    </row>
    <row r="53" spans="1:9" ht="12.75">
      <c r="A53" s="104" t="s">
        <v>215</v>
      </c>
      <c r="B53" s="52"/>
      <c r="C53" s="52" t="s">
        <v>216</v>
      </c>
      <c r="D53" s="52" t="s">
        <v>217</v>
      </c>
      <c r="E53" s="52"/>
      <c r="F53" s="52" t="s">
        <v>165</v>
      </c>
      <c r="G53" s="103">
        <v>29</v>
      </c>
      <c r="H53" s="105">
        <v>0</v>
      </c>
      <c r="I53" s="86"/>
    </row>
    <row r="54" spans="1:9" ht="12" customHeight="1">
      <c r="A54" s="104"/>
      <c r="B54" s="52"/>
      <c r="C54" s="52"/>
      <c r="D54" s="147" t="s">
        <v>259</v>
      </c>
      <c r="E54" s="147"/>
      <c r="F54" s="147"/>
      <c r="G54" s="148">
        <v>29</v>
      </c>
      <c r="H54" s="137"/>
      <c r="I54" s="86"/>
    </row>
    <row r="55" spans="1:9" ht="12.75">
      <c r="A55" s="104" t="s">
        <v>222</v>
      </c>
      <c r="B55" s="52"/>
      <c r="C55" s="52" t="s">
        <v>223</v>
      </c>
      <c r="D55" s="52" t="s">
        <v>224</v>
      </c>
      <c r="E55" s="52"/>
      <c r="F55" s="52" t="s">
        <v>139</v>
      </c>
      <c r="G55" s="103">
        <v>0.5</v>
      </c>
      <c r="H55" s="105">
        <v>0</v>
      </c>
      <c r="I55" s="86"/>
    </row>
    <row r="56" spans="1:9" ht="12" customHeight="1">
      <c r="A56" s="104"/>
      <c r="B56" s="52"/>
      <c r="C56" s="52"/>
      <c r="D56" s="147" t="s">
        <v>416</v>
      </c>
      <c r="E56" s="147"/>
      <c r="F56" s="147"/>
      <c r="G56" s="148">
        <v>0.5</v>
      </c>
      <c r="H56" s="137"/>
      <c r="I56" s="86"/>
    </row>
    <row r="57" spans="1:9" ht="12" customHeight="1">
      <c r="A57" s="104"/>
      <c r="B57" s="52"/>
      <c r="C57" s="52"/>
      <c r="D57" s="147" t="s">
        <v>112</v>
      </c>
      <c r="E57" s="147"/>
      <c r="F57" s="147"/>
      <c r="G57" s="148">
        <v>0</v>
      </c>
      <c r="H57" s="137"/>
      <c r="I57" s="86"/>
    </row>
    <row r="58" spans="1:9" ht="12.75">
      <c r="A58" s="104" t="s">
        <v>228</v>
      </c>
      <c r="B58" s="52"/>
      <c r="C58" s="52" t="s">
        <v>229</v>
      </c>
      <c r="D58" s="52" t="s">
        <v>230</v>
      </c>
      <c r="E58" s="52"/>
      <c r="F58" s="52" t="s">
        <v>165</v>
      </c>
      <c r="G58" s="103">
        <v>4</v>
      </c>
      <c r="H58" s="105">
        <v>0</v>
      </c>
      <c r="I58" s="86"/>
    </row>
    <row r="59" spans="1:9" ht="12" customHeight="1">
      <c r="A59" s="104"/>
      <c r="B59" s="52"/>
      <c r="C59" s="52"/>
      <c r="D59" s="147" t="s">
        <v>152</v>
      </c>
      <c r="E59" s="147"/>
      <c r="F59" s="147"/>
      <c r="G59" s="148">
        <v>4</v>
      </c>
      <c r="H59" s="137"/>
      <c r="I59" s="86"/>
    </row>
    <row r="60" spans="1:9" ht="12.75">
      <c r="A60" s="104" t="s">
        <v>235</v>
      </c>
      <c r="B60" s="52"/>
      <c r="C60" s="52" t="s">
        <v>236</v>
      </c>
      <c r="D60" s="52" t="s">
        <v>237</v>
      </c>
      <c r="E60" s="52"/>
      <c r="F60" s="52" t="s">
        <v>238</v>
      </c>
      <c r="G60" s="103">
        <v>69</v>
      </c>
      <c r="H60" s="105">
        <v>0</v>
      </c>
      <c r="I60" s="86"/>
    </row>
    <row r="61" spans="1:9" ht="12" customHeight="1">
      <c r="A61" s="104"/>
      <c r="B61" s="52"/>
      <c r="C61" s="52"/>
      <c r="D61" s="147" t="s">
        <v>417</v>
      </c>
      <c r="E61" s="147"/>
      <c r="F61" s="147"/>
      <c r="G61" s="148">
        <v>69</v>
      </c>
      <c r="H61" s="137"/>
      <c r="I61" s="86"/>
    </row>
    <row r="62" spans="1:9" ht="12.75">
      <c r="A62" s="104" t="s">
        <v>241</v>
      </c>
      <c r="B62" s="52"/>
      <c r="C62" s="52" t="s">
        <v>242</v>
      </c>
      <c r="D62" s="52" t="s">
        <v>243</v>
      </c>
      <c r="E62" s="52"/>
      <c r="F62" s="52" t="s">
        <v>238</v>
      </c>
      <c r="G62" s="103">
        <v>32</v>
      </c>
      <c r="H62" s="105">
        <v>0</v>
      </c>
      <c r="I62" s="86"/>
    </row>
    <row r="63" spans="1:9" ht="12" customHeight="1">
      <c r="A63" s="104"/>
      <c r="B63" s="52"/>
      <c r="C63" s="52"/>
      <c r="D63" s="147" t="s">
        <v>418</v>
      </c>
      <c r="E63" s="147"/>
      <c r="F63" s="147"/>
      <c r="G63" s="148">
        <v>32</v>
      </c>
      <c r="H63" s="137"/>
      <c r="I63" s="86"/>
    </row>
    <row r="64" spans="1:9" ht="12.75">
      <c r="A64" s="104" t="s">
        <v>244</v>
      </c>
      <c r="B64" s="52"/>
      <c r="C64" s="52" t="s">
        <v>245</v>
      </c>
      <c r="D64" s="52" t="s">
        <v>246</v>
      </c>
      <c r="E64" s="52"/>
      <c r="F64" s="52" t="s">
        <v>238</v>
      </c>
      <c r="G64" s="103">
        <v>33</v>
      </c>
      <c r="H64" s="105">
        <v>0</v>
      </c>
      <c r="I64" s="86"/>
    </row>
    <row r="65" spans="1:9" ht="12" customHeight="1">
      <c r="A65" s="104"/>
      <c r="B65" s="52"/>
      <c r="C65" s="52"/>
      <c r="D65" s="147" t="s">
        <v>272</v>
      </c>
      <c r="E65" s="147"/>
      <c r="F65" s="147"/>
      <c r="G65" s="148">
        <v>33</v>
      </c>
      <c r="H65" s="137"/>
      <c r="I65" s="86"/>
    </row>
    <row r="66" spans="1:9" ht="12.75">
      <c r="A66" s="104" t="s">
        <v>247</v>
      </c>
      <c r="B66" s="52"/>
      <c r="C66" s="52" t="s">
        <v>248</v>
      </c>
      <c r="D66" s="52" t="s">
        <v>249</v>
      </c>
      <c r="E66" s="52"/>
      <c r="F66" s="52" t="s">
        <v>238</v>
      </c>
      <c r="G66" s="103">
        <v>16</v>
      </c>
      <c r="H66" s="105">
        <v>0</v>
      </c>
      <c r="I66" s="86"/>
    </row>
    <row r="67" spans="1:9" ht="12" customHeight="1">
      <c r="A67" s="104"/>
      <c r="B67" s="52"/>
      <c r="C67" s="52"/>
      <c r="D67" s="147" t="s">
        <v>419</v>
      </c>
      <c r="E67" s="147"/>
      <c r="F67" s="147"/>
      <c r="G67" s="148">
        <v>16</v>
      </c>
      <c r="H67" s="137"/>
      <c r="I67" s="86"/>
    </row>
    <row r="68" spans="1:9" ht="12.75">
      <c r="A68" s="104" t="s">
        <v>250</v>
      </c>
      <c r="B68" s="52"/>
      <c r="C68" s="52" t="s">
        <v>251</v>
      </c>
      <c r="D68" s="52" t="s">
        <v>252</v>
      </c>
      <c r="E68" s="52"/>
      <c r="F68" s="52" t="s">
        <v>253</v>
      </c>
      <c r="G68" s="103">
        <v>2</v>
      </c>
      <c r="H68" s="105">
        <v>0</v>
      </c>
      <c r="I68" s="86"/>
    </row>
    <row r="69" spans="1:9" ht="12" customHeight="1">
      <c r="A69" s="104"/>
      <c r="B69" s="52"/>
      <c r="C69" s="52"/>
      <c r="D69" s="147" t="s">
        <v>86</v>
      </c>
      <c r="E69" s="147"/>
      <c r="F69" s="147"/>
      <c r="G69" s="148">
        <v>2</v>
      </c>
      <c r="H69" s="137"/>
      <c r="I69" s="86"/>
    </row>
    <row r="70" spans="1:9" ht="12.75">
      <c r="A70" s="104" t="s">
        <v>200</v>
      </c>
      <c r="B70" s="52"/>
      <c r="C70" s="52" t="s">
        <v>254</v>
      </c>
      <c r="D70" s="52" t="s">
        <v>255</v>
      </c>
      <c r="E70" s="52"/>
      <c r="F70" s="52" t="s">
        <v>253</v>
      </c>
      <c r="G70" s="103">
        <v>1</v>
      </c>
      <c r="H70" s="105">
        <v>0</v>
      </c>
      <c r="I70" s="86"/>
    </row>
    <row r="71" spans="1:9" ht="12.75">
      <c r="A71" s="104" t="s">
        <v>256</v>
      </c>
      <c r="B71" s="52"/>
      <c r="C71" s="52" t="s">
        <v>257</v>
      </c>
      <c r="D71" s="52" t="s">
        <v>258</v>
      </c>
      <c r="E71" s="52"/>
      <c r="F71" s="52" t="s">
        <v>253</v>
      </c>
      <c r="G71" s="103">
        <v>12</v>
      </c>
      <c r="H71" s="105">
        <v>0</v>
      </c>
      <c r="I71" s="86"/>
    </row>
    <row r="72" spans="1:9" ht="12" customHeight="1">
      <c r="A72" s="104"/>
      <c r="B72" s="52"/>
      <c r="C72" s="52"/>
      <c r="D72" s="147" t="s">
        <v>135</v>
      </c>
      <c r="E72" s="147"/>
      <c r="F72" s="147"/>
      <c r="G72" s="148">
        <v>12</v>
      </c>
      <c r="H72" s="137"/>
      <c r="I72" s="86"/>
    </row>
    <row r="73" spans="1:9" ht="12.75">
      <c r="A73" s="104" t="s">
        <v>259</v>
      </c>
      <c r="B73" s="52"/>
      <c r="C73" s="52" t="s">
        <v>260</v>
      </c>
      <c r="D73" s="52" t="s">
        <v>261</v>
      </c>
      <c r="E73" s="52"/>
      <c r="F73" s="52" t="s">
        <v>238</v>
      </c>
      <c r="G73" s="103">
        <v>81</v>
      </c>
      <c r="H73" s="105">
        <v>0</v>
      </c>
      <c r="I73" s="86"/>
    </row>
    <row r="74" spans="1:9" ht="12" customHeight="1">
      <c r="A74" s="104"/>
      <c r="B74" s="52"/>
      <c r="C74" s="52"/>
      <c r="D74" s="147" t="s">
        <v>420</v>
      </c>
      <c r="E74" s="147"/>
      <c r="F74" s="147"/>
      <c r="G74" s="148">
        <v>81</v>
      </c>
      <c r="H74" s="137"/>
      <c r="I74" s="86"/>
    </row>
    <row r="75" spans="1:9" ht="12.75">
      <c r="A75" s="104" t="s">
        <v>262</v>
      </c>
      <c r="B75" s="52"/>
      <c r="C75" s="52" t="s">
        <v>263</v>
      </c>
      <c r="D75" s="52" t="s">
        <v>264</v>
      </c>
      <c r="E75" s="52"/>
      <c r="F75" s="52" t="s">
        <v>265</v>
      </c>
      <c r="G75" s="103">
        <v>1</v>
      </c>
      <c r="H75" s="105">
        <v>0</v>
      </c>
      <c r="I75" s="86"/>
    </row>
    <row r="76" spans="1:9" ht="12" customHeight="1">
      <c r="A76" s="104"/>
      <c r="B76" s="52"/>
      <c r="C76" s="52"/>
      <c r="D76" s="147" t="s">
        <v>83</v>
      </c>
      <c r="E76" s="147"/>
      <c r="F76" s="147"/>
      <c r="G76" s="148">
        <v>1</v>
      </c>
      <c r="H76" s="137"/>
      <c r="I76" s="86"/>
    </row>
    <row r="77" spans="1:9" ht="12.75">
      <c r="A77" s="104" t="s">
        <v>266</v>
      </c>
      <c r="B77" s="52"/>
      <c r="C77" s="52" t="s">
        <v>267</v>
      </c>
      <c r="D77" s="52" t="s">
        <v>268</v>
      </c>
      <c r="E77" s="52"/>
      <c r="F77" s="52" t="s">
        <v>265</v>
      </c>
      <c r="G77" s="103">
        <v>1</v>
      </c>
      <c r="H77" s="105">
        <v>0</v>
      </c>
      <c r="I77" s="86"/>
    </row>
    <row r="78" spans="1:9" ht="12" customHeight="1">
      <c r="A78" s="104"/>
      <c r="B78" s="52"/>
      <c r="C78" s="52"/>
      <c r="D78" s="147" t="s">
        <v>83</v>
      </c>
      <c r="E78" s="147"/>
      <c r="F78" s="147"/>
      <c r="G78" s="148">
        <v>1</v>
      </c>
      <c r="H78" s="137"/>
      <c r="I78" s="86"/>
    </row>
    <row r="79" spans="1:9" ht="12.75">
      <c r="A79" s="104" t="s">
        <v>269</v>
      </c>
      <c r="B79" s="52"/>
      <c r="C79" s="52" t="s">
        <v>270</v>
      </c>
      <c r="D79" s="52" t="s">
        <v>271</v>
      </c>
      <c r="E79" s="52"/>
      <c r="F79" s="52" t="s">
        <v>265</v>
      </c>
      <c r="G79" s="103">
        <v>1</v>
      </c>
      <c r="H79" s="105">
        <v>0</v>
      </c>
      <c r="I79" s="86"/>
    </row>
    <row r="80" spans="1:9" ht="12" customHeight="1">
      <c r="A80" s="104"/>
      <c r="B80" s="52"/>
      <c r="C80" s="52"/>
      <c r="D80" s="147" t="s">
        <v>83</v>
      </c>
      <c r="E80" s="147"/>
      <c r="F80" s="147"/>
      <c r="G80" s="148">
        <v>1</v>
      </c>
      <c r="H80" s="137"/>
      <c r="I80" s="86"/>
    </row>
    <row r="81" spans="1:9" ht="12.75">
      <c r="A81" s="104" t="s">
        <v>272</v>
      </c>
      <c r="B81" s="52"/>
      <c r="C81" s="52" t="s">
        <v>254</v>
      </c>
      <c r="D81" s="52" t="s">
        <v>273</v>
      </c>
      <c r="E81" s="52"/>
      <c r="F81" s="52" t="s">
        <v>253</v>
      </c>
      <c r="G81" s="103">
        <v>1</v>
      </c>
      <c r="H81" s="105">
        <v>0</v>
      </c>
      <c r="I81" s="86"/>
    </row>
    <row r="82" spans="1:9" ht="12.75">
      <c r="A82" s="104" t="s">
        <v>206</v>
      </c>
      <c r="B82" s="52"/>
      <c r="C82" s="52" t="s">
        <v>274</v>
      </c>
      <c r="D82" s="52" t="s">
        <v>275</v>
      </c>
      <c r="E82" s="52"/>
      <c r="F82" s="52" t="s">
        <v>276</v>
      </c>
      <c r="G82" s="103">
        <v>1</v>
      </c>
      <c r="H82" s="105">
        <v>0</v>
      </c>
      <c r="I82" s="86"/>
    </row>
    <row r="83" spans="1:9" ht="12" customHeight="1">
      <c r="A83" s="104"/>
      <c r="B83" s="52"/>
      <c r="C83" s="52"/>
      <c r="D83" s="147" t="s">
        <v>83</v>
      </c>
      <c r="E83" s="147"/>
      <c r="F83" s="147"/>
      <c r="G83" s="148">
        <v>1</v>
      </c>
      <c r="H83" s="137"/>
      <c r="I83" s="86"/>
    </row>
    <row r="84" spans="1:9" ht="12.75">
      <c r="A84" s="104" t="s">
        <v>277</v>
      </c>
      <c r="B84" s="52"/>
      <c r="C84" s="52" t="s">
        <v>278</v>
      </c>
      <c r="D84" s="52" t="s">
        <v>279</v>
      </c>
      <c r="E84" s="52"/>
      <c r="F84" s="52" t="s">
        <v>276</v>
      </c>
      <c r="G84" s="103">
        <v>1</v>
      </c>
      <c r="H84" s="105">
        <v>0</v>
      </c>
      <c r="I84" s="86"/>
    </row>
    <row r="85" spans="1:9" ht="12" customHeight="1">
      <c r="A85" s="104"/>
      <c r="B85" s="52"/>
      <c r="C85" s="52"/>
      <c r="D85" s="147" t="s">
        <v>83</v>
      </c>
      <c r="E85" s="147"/>
      <c r="F85" s="147"/>
      <c r="G85" s="148">
        <v>1</v>
      </c>
      <c r="H85" s="137"/>
      <c r="I85" s="86"/>
    </row>
    <row r="86" spans="1:9" ht="12.75">
      <c r="A86" s="104" t="s">
        <v>280</v>
      </c>
      <c r="B86" s="52"/>
      <c r="C86" s="52" t="s">
        <v>281</v>
      </c>
      <c r="D86" s="52" t="s">
        <v>282</v>
      </c>
      <c r="E86" s="52"/>
      <c r="F86" s="52" t="s">
        <v>276</v>
      </c>
      <c r="G86" s="103">
        <v>1</v>
      </c>
      <c r="H86" s="105">
        <v>0</v>
      </c>
      <c r="I86" s="86"/>
    </row>
    <row r="87" spans="1:9" ht="12" customHeight="1">
      <c r="A87" s="104"/>
      <c r="B87" s="52"/>
      <c r="C87" s="52"/>
      <c r="D87" s="147" t="s">
        <v>83</v>
      </c>
      <c r="E87" s="147"/>
      <c r="F87" s="147"/>
      <c r="G87" s="148">
        <v>1</v>
      </c>
      <c r="H87" s="137"/>
      <c r="I87" s="86"/>
    </row>
    <row r="88" spans="1:9" ht="12.75">
      <c r="A88" s="104" t="s">
        <v>284</v>
      </c>
      <c r="B88" s="52"/>
      <c r="C88" s="52" t="s">
        <v>285</v>
      </c>
      <c r="D88" s="52" t="s">
        <v>286</v>
      </c>
      <c r="E88" s="52"/>
      <c r="F88" s="52" t="s">
        <v>276</v>
      </c>
      <c r="G88" s="103">
        <v>1</v>
      </c>
      <c r="H88" s="105">
        <v>0</v>
      </c>
      <c r="I88" s="86"/>
    </row>
    <row r="89" spans="1:9" ht="12" customHeight="1">
      <c r="A89" s="104"/>
      <c r="B89" s="52"/>
      <c r="C89" s="52"/>
      <c r="D89" s="147" t="s">
        <v>83</v>
      </c>
      <c r="E89" s="147"/>
      <c r="F89" s="147"/>
      <c r="G89" s="148">
        <v>1</v>
      </c>
      <c r="H89" s="137"/>
      <c r="I89" s="86"/>
    </row>
    <row r="90" spans="1:9" ht="12.75">
      <c r="A90" s="104" t="s">
        <v>290</v>
      </c>
      <c r="B90" s="52"/>
      <c r="C90" s="52" t="s">
        <v>291</v>
      </c>
      <c r="D90" s="52" t="s">
        <v>292</v>
      </c>
      <c r="E90" s="52"/>
      <c r="F90" s="52" t="s">
        <v>165</v>
      </c>
      <c r="G90" s="103">
        <v>76.24</v>
      </c>
      <c r="H90" s="105">
        <v>0</v>
      </c>
      <c r="I90" s="86"/>
    </row>
    <row r="91" spans="1:9" ht="12" customHeight="1">
      <c r="A91" s="104"/>
      <c r="B91" s="52"/>
      <c r="C91" s="52"/>
      <c r="D91" s="147" t="s">
        <v>421</v>
      </c>
      <c r="E91" s="147"/>
      <c r="F91" s="147"/>
      <c r="G91" s="148">
        <v>76.24</v>
      </c>
      <c r="H91" s="137"/>
      <c r="I91" s="86"/>
    </row>
    <row r="92" spans="1:9" ht="12.75">
      <c r="A92" s="104" t="s">
        <v>295</v>
      </c>
      <c r="B92" s="52"/>
      <c r="C92" s="52" t="s">
        <v>296</v>
      </c>
      <c r="D92" s="52" t="s">
        <v>297</v>
      </c>
      <c r="E92" s="52"/>
      <c r="F92" s="52" t="s">
        <v>238</v>
      </c>
      <c r="G92" s="103">
        <v>20</v>
      </c>
      <c r="H92" s="105">
        <v>0</v>
      </c>
      <c r="I92" s="86"/>
    </row>
    <row r="93" spans="1:9" ht="12" customHeight="1">
      <c r="A93" s="104"/>
      <c r="B93" s="52"/>
      <c r="C93" s="52"/>
      <c r="D93" s="147" t="s">
        <v>222</v>
      </c>
      <c r="E93" s="147"/>
      <c r="F93" s="147"/>
      <c r="G93" s="148">
        <v>20</v>
      </c>
      <c r="H93" s="137"/>
      <c r="I93" s="86"/>
    </row>
    <row r="94" spans="1:9" ht="12.75">
      <c r="A94" s="104" t="s">
        <v>298</v>
      </c>
      <c r="B94" s="52"/>
      <c r="C94" s="52" t="s">
        <v>299</v>
      </c>
      <c r="D94" s="52" t="s">
        <v>300</v>
      </c>
      <c r="E94" s="52"/>
      <c r="F94" s="52" t="s">
        <v>165</v>
      </c>
      <c r="G94" s="103">
        <v>60</v>
      </c>
      <c r="H94" s="105">
        <v>0</v>
      </c>
      <c r="I94" s="86"/>
    </row>
    <row r="95" spans="1:9" ht="12" customHeight="1">
      <c r="A95" s="104"/>
      <c r="B95" s="52"/>
      <c r="C95" s="52"/>
      <c r="D95" s="147" t="s">
        <v>13</v>
      </c>
      <c r="E95" s="147"/>
      <c r="F95" s="147"/>
      <c r="G95" s="148">
        <v>60</v>
      </c>
      <c r="H95" s="137"/>
      <c r="I95" s="86"/>
    </row>
    <row r="96" spans="1:9" ht="12.75">
      <c r="A96" s="104" t="s">
        <v>301</v>
      </c>
      <c r="B96" s="52"/>
      <c r="C96" s="52" t="s">
        <v>302</v>
      </c>
      <c r="D96" s="52" t="s">
        <v>303</v>
      </c>
      <c r="E96" s="52"/>
      <c r="F96" s="52" t="s">
        <v>165</v>
      </c>
      <c r="G96" s="103">
        <v>60</v>
      </c>
      <c r="H96" s="105">
        <v>0</v>
      </c>
      <c r="I96" s="86"/>
    </row>
    <row r="97" spans="1:9" ht="12" customHeight="1">
      <c r="A97" s="104"/>
      <c r="B97" s="52"/>
      <c r="C97" s="52"/>
      <c r="D97" s="147" t="s">
        <v>13</v>
      </c>
      <c r="E97" s="147"/>
      <c r="F97" s="147"/>
      <c r="G97" s="148">
        <v>60</v>
      </c>
      <c r="H97" s="137"/>
      <c r="I97" s="86"/>
    </row>
    <row r="98" spans="1:9" ht="12.75">
      <c r="A98" s="104" t="s">
        <v>304</v>
      </c>
      <c r="B98" s="52"/>
      <c r="C98" s="52" t="s">
        <v>305</v>
      </c>
      <c r="D98" s="52" t="s">
        <v>306</v>
      </c>
      <c r="E98" s="52"/>
      <c r="F98" s="52" t="s">
        <v>165</v>
      </c>
      <c r="G98" s="103">
        <v>60</v>
      </c>
      <c r="H98" s="105">
        <v>0</v>
      </c>
      <c r="I98" s="86"/>
    </row>
    <row r="99" spans="1:9" ht="12.75">
      <c r="A99" s="104" t="s">
        <v>309</v>
      </c>
      <c r="B99" s="52"/>
      <c r="C99" s="52" t="s">
        <v>310</v>
      </c>
      <c r="D99" s="52" t="s">
        <v>311</v>
      </c>
      <c r="E99" s="52"/>
      <c r="F99" s="52" t="s">
        <v>139</v>
      </c>
      <c r="G99" s="103">
        <v>2.2</v>
      </c>
      <c r="H99" s="105">
        <v>0</v>
      </c>
      <c r="I99" s="86"/>
    </row>
    <row r="100" spans="1:9" ht="12" customHeight="1">
      <c r="A100" s="104"/>
      <c r="B100" s="52"/>
      <c r="C100" s="52"/>
      <c r="D100" s="147" t="s">
        <v>422</v>
      </c>
      <c r="E100" s="147"/>
      <c r="F100" s="147"/>
      <c r="G100" s="148">
        <v>2.2</v>
      </c>
      <c r="H100" s="137"/>
      <c r="I100" s="86"/>
    </row>
    <row r="101" spans="1:9" ht="12.75">
      <c r="A101" s="104" t="s">
        <v>316</v>
      </c>
      <c r="B101" s="52"/>
      <c r="C101" s="52" t="s">
        <v>317</v>
      </c>
      <c r="D101" s="52" t="s">
        <v>318</v>
      </c>
      <c r="E101" s="52"/>
      <c r="F101" s="52" t="s">
        <v>265</v>
      </c>
      <c r="G101" s="103">
        <v>1</v>
      </c>
      <c r="H101" s="105">
        <v>0</v>
      </c>
      <c r="I101" s="86"/>
    </row>
    <row r="102" spans="1:9" ht="12" customHeight="1">
      <c r="A102" s="104"/>
      <c r="B102" s="52"/>
      <c r="C102" s="52"/>
      <c r="D102" s="147" t="s">
        <v>83</v>
      </c>
      <c r="E102" s="147"/>
      <c r="F102" s="147"/>
      <c r="G102" s="148">
        <v>1</v>
      </c>
      <c r="H102" s="137"/>
      <c r="I102" s="86"/>
    </row>
    <row r="103" spans="1:9" ht="12.75">
      <c r="A103" s="104" t="s">
        <v>323</v>
      </c>
      <c r="B103" s="52"/>
      <c r="C103" s="52" t="s">
        <v>324</v>
      </c>
      <c r="D103" s="52" t="s">
        <v>325</v>
      </c>
      <c r="E103" s="52"/>
      <c r="F103" s="52" t="s">
        <v>165</v>
      </c>
      <c r="G103" s="103">
        <v>90</v>
      </c>
      <c r="H103" s="105">
        <v>0</v>
      </c>
      <c r="I103" s="86"/>
    </row>
    <row r="104" spans="1:9" ht="12" customHeight="1">
      <c r="A104" s="104"/>
      <c r="B104" s="52"/>
      <c r="C104" s="52"/>
      <c r="D104" s="147" t="s">
        <v>314</v>
      </c>
      <c r="E104" s="147"/>
      <c r="F104" s="147"/>
      <c r="G104" s="148">
        <v>90</v>
      </c>
      <c r="H104" s="137"/>
      <c r="I104" s="86"/>
    </row>
    <row r="105" spans="1:9" ht="12.75">
      <c r="A105" s="104" t="s">
        <v>329</v>
      </c>
      <c r="B105" s="52"/>
      <c r="C105" s="52" t="s">
        <v>330</v>
      </c>
      <c r="D105" s="52" t="s">
        <v>331</v>
      </c>
      <c r="E105" s="52"/>
      <c r="F105" s="52" t="s">
        <v>165</v>
      </c>
      <c r="G105" s="103">
        <v>60</v>
      </c>
      <c r="H105" s="105">
        <v>0</v>
      </c>
      <c r="I105" s="86"/>
    </row>
    <row r="106" spans="1:9" ht="12" customHeight="1">
      <c r="A106" s="104"/>
      <c r="B106" s="52"/>
      <c r="C106" s="52"/>
      <c r="D106" s="147" t="s">
        <v>13</v>
      </c>
      <c r="E106" s="147"/>
      <c r="F106" s="147"/>
      <c r="G106" s="148">
        <v>60</v>
      </c>
      <c r="H106" s="137"/>
      <c r="I106" s="86"/>
    </row>
    <row r="107" spans="1:9" ht="12.75">
      <c r="A107" s="104" t="s">
        <v>334</v>
      </c>
      <c r="B107" s="52"/>
      <c r="C107" s="52" t="s">
        <v>335</v>
      </c>
      <c r="D107" s="52" t="s">
        <v>336</v>
      </c>
      <c r="E107" s="52"/>
      <c r="F107" s="52" t="s">
        <v>165</v>
      </c>
      <c r="G107" s="103">
        <v>1000</v>
      </c>
      <c r="H107" s="105">
        <v>0</v>
      </c>
      <c r="I107" s="86"/>
    </row>
    <row r="108" spans="1:9" ht="12" customHeight="1">
      <c r="A108" s="104"/>
      <c r="B108" s="52"/>
      <c r="C108" s="52"/>
      <c r="D108" s="147" t="s">
        <v>423</v>
      </c>
      <c r="E108" s="147"/>
      <c r="F108" s="147"/>
      <c r="G108" s="148">
        <v>1000</v>
      </c>
      <c r="H108" s="137"/>
      <c r="I108" s="86"/>
    </row>
    <row r="109" spans="1:9" ht="12.75">
      <c r="A109" s="104" t="s">
        <v>339</v>
      </c>
      <c r="B109" s="52"/>
      <c r="C109" s="52" t="s">
        <v>340</v>
      </c>
      <c r="D109" s="52" t="s">
        <v>341</v>
      </c>
      <c r="E109" s="52"/>
      <c r="F109" s="52" t="s">
        <v>139</v>
      </c>
      <c r="G109" s="103">
        <v>0.5</v>
      </c>
      <c r="H109" s="105">
        <v>0</v>
      </c>
      <c r="I109" s="86"/>
    </row>
    <row r="110" spans="1:9" ht="12" customHeight="1">
      <c r="A110" s="104"/>
      <c r="B110" s="52"/>
      <c r="C110" s="52"/>
      <c r="D110" s="147" t="s">
        <v>416</v>
      </c>
      <c r="E110" s="147"/>
      <c r="F110" s="147"/>
      <c r="G110" s="148">
        <v>0.5</v>
      </c>
      <c r="H110" s="137"/>
      <c r="I110" s="86"/>
    </row>
    <row r="111" spans="1:9" ht="12.75">
      <c r="A111" s="104" t="s">
        <v>346</v>
      </c>
      <c r="B111" s="52"/>
      <c r="C111" s="52" t="s">
        <v>347</v>
      </c>
      <c r="D111" s="52" t="s">
        <v>348</v>
      </c>
      <c r="E111" s="52"/>
      <c r="F111" s="52" t="s">
        <v>253</v>
      </c>
      <c r="G111" s="103">
        <v>8</v>
      </c>
      <c r="H111" s="105">
        <v>0</v>
      </c>
      <c r="I111" s="86"/>
    </row>
    <row r="112" spans="1:9" ht="12" customHeight="1">
      <c r="A112" s="104"/>
      <c r="B112" s="52"/>
      <c r="C112" s="52"/>
      <c r="D112" s="147" t="s">
        <v>98</v>
      </c>
      <c r="E112" s="147"/>
      <c r="F112" s="147"/>
      <c r="G112" s="148">
        <v>8</v>
      </c>
      <c r="H112" s="137"/>
      <c r="I112" s="86"/>
    </row>
    <row r="113" spans="1:9" ht="12.75">
      <c r="A113" s="104" t="s">
        <v>350</v>
      </c>
      <c r="B113" s="52"/>
      <c r="C113" s="52" t="s">
        <v>351</v>
      </c>
      <c r="D113" s="52" t="s">
        <v>352</v>
      </c>
      <c r="E113" s="52"/>
      <c r="F113" s="52" t="s">
        <v>210</v>
      </c>
      <c r="G113" s="103">
        <v>7</v>
      </c>
      <c r="H113" s="105">
        <v>0</v>
      </c>
      <c r="I113" s="86"/>
    </row>
    <row r="114" spans="1:9" ht="12" customHeight="1">
      <c r="A114" s="104"/>
      <c r="B114" s="52"/>
      <c r="C114" s="52"/>
      <c r="D114" s="147" t="s">
        <v>162</v>
      </c>
      <c r="E114" s="147"/>
      <c r="F114" s="147"/>
      <c r="G114" s="148">
        <v>7</v>
      </c>
      <c r="H114" s="137"/>
      <c r="I114" s="86"/>
    </row>
    <row r="115" spans="1:9" ht="12.75">
      <c r="A115" s="104" t="s">
        <v>355</v>
      </c>
      <c r="B115" s="52"/>
      <c r="C115" s="52" t="s">
        <v>356</v>
      </c>
      <c r="D115" s="52" t="s">
        <v>357</v>
      </c>
      <c r="E115" s="52"/>
      <c r="F115" s="52" t="s">
        <v>183</v>
      </c>
      <c r="G115" s="103">
        <v>10</v>
      </c>
      <c r="H115" s="105">
        <v>0</v>
      </c>
      <c r="I115" s="86"/>
    </row>
    <row r="116" spans="1:9" ht="12" customHeight="1">
      <c r="A116" s="104"/>
      <c r="B116" s="52"/>
      <c r="C116" s="52"/>
      <c r="D116" s="147" t="s">
        <v>174</v>
      </c>
      <c r="E116" s="147"/>
      <c r="F116" s="147"/>
      <c r="G116" s="148">
        <v>10</v>
      </c>
      <c r="H116" s="137"/>
      <c r="I116" s="86"/>
    </row>
    <row r="117" spans="1:9" ht="12.75">
      <c r="A117" s="104" t="s">
        <v>361</v>
      </c>
      <c r="B117" s="52"/>
      <c r="C117" s="52" t="s">
        <v>362</v>
      </c>
      <c r="D117" s="52" t="s">
        <v>363</v>
      </c>
      <c r="E117" s="52"/>
      <c r="F117" s="52" t="s">
        <v>210</v>
      </c>
      <c r="G117" s="103">
        <v>10</v>
      </c>
      <c r="H117" s="105">
        <v>0</v>
      </c>
      <c r="I117" s="86"/>
    </row>
    <row r="118" spans="1:9" ht="12" customHeight="1">
      <c r="A118" s="104"/>
      <c r="B118" s="52"/>
      <c r="C118" s="52"/>
      <c r="D118" s="147" t="s">
        <v>174</v>
      </c>
      <c r="E118" s="147"/>
      <c r="F118" s="147"/>
      <c r="G118" s="148">
        <v>10</v>
      </c>
      <c r="H118" s="137"/>
      <c r="I118" s="86"/>
    </row>
    <row r="119" spans="1:9" ht="12.75">
      <c r="A119" s="104" t="s">
        <v>367</v>
      </c>
      <c r="B119" s="52"/>
      <c r="C119" s="52" t="s">
        <v>368</v>
      </c>
      <c r="D119" s="52" t="s">
        <v>369</v>
      </c>
      <c r="E119" s="52"/>
      <c r="F119" s="52" t="s">
        <v>253</v>
      </c>
      <c r="G119" s="103">
        <v>1</v>
      </c>
      <c r="H119" s="105">
        <v>0</v>
      </c>
      <c r="I119" s="86"/>
    </row>
    <row r="120" spans="1:9" ht="12" customHeight="1">
      <c r="A120" s="104"/>
      <c r="B120" s="52"/>
      <c r="C120" s="52"/>
      <c r="D120" s="147" t="s">
        <v>83</v>
      </c>
      <c r="E120" s="147"/>
      <c r="F120" s="147"/>
      <c r="G120" s="148">
        <v>1</v>
      </c>
      <c r="H120" s="137"/>
      <c r="I120" s="86"/>
    </row>
    <row r="121" spans="1:9" ht="12.75">
      <c r="A121" s="104" t="s">
        <v>371</v>
      </c>
      <c r="B121" s="52"/>
      <c r="C121" s="52" t="s">
        <v>372</v>
      </c>
      <c r="D121" s="52" t="s">
        <v>373</v>
      </c>
      <c r="E121" s="52"/>
      <c r="F121" s="52" t="s">
        <v>238</v>
      </c>
      <c r="G121" s="103">
        <v>30</v>
      </c>
      <c r="H121" s="105">
        <v>0</v>
      </c>
      <c r="I121" s="86"/>
    </row>
    <row r="122" spans="1:9" ht="12" customHeight="1">
      <c r="A122" s="104"/>
      <c r="B122" s="52"/>
      <c r="C122" s="52"/>
      <c r="D122" s="147" t="s">
        <v>424</v>
      </c>
      <c r="E122" s="147"/>
      <c r="F122" s="147"/>
      <c r="G122" s="148">
        <v>30</v>
      </c>
      <c r="H122" s="137"/>
      <c r="I122" s="86"/>
    </row>
    <row r="123" spans="1:9" ht="12.75">
      <c r="A123" s="104" t="s">
        <v>376</v>
      </c>
      <c r="B123" s="52"/>
      <c r="C123" s="52" t="s">
        <v>377</v>
      </c>
      <c r="D123" s="52" t="s">
        <v>378</v>
      </c>
      <c r="E123" s="52"/>
      <c r="F123" s="52" t="s">
        <v>183</v>
      </c>
      <c r="G123" s="103">
        <v>5.5</v>
      </c>
      <c r="H123" s="105">
        <v>0</v>
      </c>
      <c r="I123" s="86"/>
    </row>
    <row r="124" spans="1:9" ht="12" customHeight="1">
      <c r="A124" s="104"/>
      <c r="B124" s="52"/>
      <c r="C124" s="52"/>
      <c r="D124" s="147" t="s">
        <v>425</v>
      </c>
      <c r="E124" s="147"/>
      <c r="F124" s="147"/>
      <c r="G124" s="148">
        <v>5.5</v>
      </c>
      <c r="H124" s="137"/>
      <c r="I124" s="86"/>
    </row>
    <row r="125" spans="1:9" ht="12.75">
      <c r="A125" s="104" t="s">
        <v>380</v>
      </c>
      <c r="B125" s="52"/>
      <c r="C125" s="52" t="s">
        <v>381</v>
      </c>
      <c r="D125" s="52" t="s">
        <v>382</v>
      </c>
      <c r="E125" s="52"/>
      <c r="F125" s="52" t="s">
        <v>183</v>
      </c>
      <c r="G125" s="103">
        <v>16.5</v>
      </c>
      <c r="H125" s="105">
        <v>0</v>
      </c>
      <c r="I125" s="86"/>
    </row>
    <row r="126" spans="1:9" ht="12" customHeight="1">
      <c r="A126" s="104"/>
      <c r="B126" s="52"/>
      <c r="C126" s="52"/>
      <c r="D126" s="147" t="s">
        <v>426</v>
      </c>
      <c r="E126" s="147"/>
      <c r="F126" s="147"/>
      <c r="G126" s="148">
        <v>16.5</v>
      </c>
      <c r="H126" s="137"/>
      <c r="I126" s="86"/>
    </row>
    <row r="127" spans="1:9" ht="12.75">
      <c r="A127" s="104" t="s">
        <v>383</v>
      </c>
      <c r="B127" s="52"/>
      <c r="C127" s="52" t="s">
        <v>384</v>
      </c>
      <c r="D127" s="52" t="s">
        <v>385</v>
      </c>
      <c r="E127" s="52"/>
      <c r="F127" s="52" t="s">
        <v>183</v>
      </c>
      <c r="G127" s="103">
        <v>5.5</v>
      </c>
      <c r="H127" s="105">
        <v>0</v>
      </c>
      <c r="I127" s="86"/>
    </row>
    <row r="128" spans="1:9" ht="12" customHeight="1">
      <c r="A128" s="104"/>
      <c r="B128" s="52"/>
      <c r="C128" s="52"/>
      <c r="D128" s="147" t="s">
        <v>425</v>
      </c>
      <c r="E128" s="147"/>
      <c r="F128" s="147"/>
      <c r="G128" s="148">
        <v>5.5</v>
      </c>
      <c r="H128" s="137"/>
      <c r="I128" s="86"/>
    </row>
    <row r="129" spans="1:9" ht="12.75">
      <c r="A129" s="104" t="s">
        <v>386</v>
      </c>
      <c r="B129" s="52"/>
      <c r="C129" s="52" t="s">
        <v>387</v>
      </c>
      <c r="D129" s="52" t="s">
        <v>388</v>
      </c>
      <c r="E129" s="52"/>
      <c r="F129" s="52" t="s">
        <v>183</v>
      </c>
      <c r="G129" s="103">
        <v>137.5</v>
      </c>
      <c r="H129" s="105">
        <v>0</v>
      </c>
      <c r="I129" s="86"/>
    </row>
    <row r="130" spans="1:9" ht="12" customHeight="1">
      <c r="A130" s="104"/>
      <c r="B130" s="52"/>
      <c r="C130" s="52"/>
      <c r="D130" s="147" t="s">
        <v>427</v>
      </c>
      <c r="E130" s="147"/>
      <c r="F130" s="147"/>
      <c r="G130" s="148">
        <v>137.5</v>
      </c>
      <c r="H130" s="137"/>
      <c r="I130" s="86"/>
    </row>
    <row r="131" spans="1:9" ht="12.75">
      <c r="A131" s="104" t="s">
        <v>389</v>
      </c>
      <c r="B131" s="52"/>
      <c r="C131" s="52" t="s">
        <v>390</v>
      </c>
      <c r="D131" s="52" t="s">
        <v>391</v>
      </c>
      <c r="E131" s="52"/>
      <c r="F131" s="52" t="s">
        <v>183</v>
      </c>
      <c r="G131" s="103">
        <v>5.5</v>
      </c>
      <c r="H131" s="105">
        <v>0</v>
      </c>
      <c r="I131" s="86"/>
    </row>
    <row r="132" spans="1:9" ht="12" customHeight="1">
      <c r="A132" s="104"/>
      <c r="B132" s="52"/>
      <c r="C132" s="52"/>
      <c r="D132" s="147" t="s">
        <v>425</v>
      </c>
      <c r="E132" s="147"/>
      <c r="F132" s="147"/>
      <c r="G132" s="148">
        <v>5.5</v>
      </c>
      <c r="H132" s="137"/>
      <c r="I132" s="86"/>
    </row>
    <row r="133" spans="1:9" ht="12.75">
      <c r="A133" s="104" t="s">
        <v>13</v>
      </c>
      <c r="B133" s="52"/>
      <c r="C133" s="52" t="s">
        <v>392</v>
      </c>
      <c r="D133" s="52" t="s">
        <v>393</v>
      </c>
      <c r="E133" s="52"/>
      <c r="F133" s="52" t="s">
        <v>183</v>
      </c>
      <c r="G133" s="103">
        <v>5.5</v>
      </c>
      <c r="H133" s="105">
        <v>0</v>
      </c>
      <c r="I133" s="86"/>
    </row>
    <row r="134" spans="1:9" ht="12" customHeight="1">
      <c r="A134" s="106"/>
      <c r="B134" s="55"/>
      <c r="C134" s="55"/>
      <c r="D134" s="149" t="s">
        <v>425</v>
      </c>
      <c r="E134" s="149"/>
      <c r="F134" s="149"/>
      <c r="G134" s="150">
        <v>5.5</v>
      </c>
      <c r="H134" s="141"/>
      <c r="I134" s="86"/>
    </row>
    <row r="135" spans="1:8" ht="12.75">
      <c r="A135" s="26"/>
      <c r="B135" s="26"/>
      <c r="C135" s="26"/>
      <c r="D135" s="26"/>
      <c r="E135" s="26"/>
      <c r="F135" s="26"/>
      <c r="G135" s="26"/>
      <c r="H135" s="26"/>
    </row>
    <row r="136" ht="11.25" customHeight="1">
      <c r="A136" s="110" t="s">
        <v>58</v>
      </c>
    </row>
    <row r="137" spans="1:7" ht="12.75" customHeight="1">
      <c r="A137" s="48" t="s">
        <v>103</v>
      </c>
      <c r="B137" s="48"/>
      <c r="C137" s="48"/>
      <c r="D137" s="48"/>
      <c r="E137" s="48"/>
      <c r="F137" s="48"/>
      <c r="G137" s="48"/>
    </row>
  </sheetData>
  <sheetProtection selectLockedCells="1" selectUnlockedCells="1"/>
  <mergeCells count="143">
    <mergeCell ref="A1:H1"/>
    <mergeCell ref="A2:B3"/>
    <mergeCell ref="C2:D3"/>
    <mergeCell ref="E2:E3"/>
    <mergeCell ref="F2:H3"/>
    <mergeCell ref="A4:B5"/>
    <mergeCell ref="C4:D5"/>
    <mergeCell ref="E4:E5"/>
    <mergeCell ref="F4:H5"/>
    <mergeCell ref="A6:B7"/>
    <mergeCell ref="C6:D7"/>
    <mergeCell ref="E6:E7"/>
    <mergeCell ref="F6:H7"/>
    <mergeCell ref="A8:B9"/>
    <mergeCell ref="C8:D9"/>
    <mergeCell ref="E8:E9"/>
    <mergeCell ref="F8:H9"/>
    <mergeCell ref="D10:E10"/>
    <mergeCell ref="D11:E11"/>
    <mergeCell ref="E12:F12"/>
    <mergeCell ref="D13:E13"/>
    <mergeCell ref="E14:F14"/>
    <mergeCell ref="E15:F15"/>
    <mergeCell ref="E16:F16"/>
    <mergeCell ref="D17:E17"/>
    <mergeCell ref="E18:F18"/>
    <mergeCell ref="E19:F19"/>
    <mergeCell ref="E20:F20"/>
    <mergeCell ref="D21:E21"/>
    <mergeCell ref="E22:F22"/>
    <mergeCell ref="D23:E23"/>
    <mergeCell ref="E24:F24"/>
    <mergeCell ref="D25:E25"/>
    <mergeCell ref="E26:F26"/>
    <mergeCell ref="D27:E27"/>
    <mergeCell ref="E28:F28"/>
    <mergeCell ref="D29:E29"/>
    <mergeCell ref="E30:F30"/>
    <mergeCell ref="D31:E31"/>
    <mergeCell ref="E32:F32"/>
    <mergeCell ref="D33:E33"/>
    <mergeCell ref="E34:F34"/>
    <mergeCell ref="D35:E35"/>
    <mergeCell ref="E36:F36"/>
    <mergeCell ref="D37:E37"/>
    <mergeCell ref="E38:F38"/>
    <mergeCell ref="D39:E39"/>
    <mergeCell ref="E40:F40"/>
    <mergeCell ref="E41:F41"/>
    <mergeCell ref="E42:F42"/>
    <mergeCell ref="D43:E43"/>
    <mergeCell ref="E44:F44"/>
    <mergeCell ref="D45:E45"/>
    <mergeCell ref="E46:F46"/>
    <mergeCell ref="D47:E47"/>
    <mergeCell ref="E48:F48"/>
    <mergeCell ref="D49:E49"/>
    <mergeCell ref="E50:F50"/>
    <mergeCell ref="D51:E51"/>
    <mergeCell ref="E52:F52"/>
    <mergeCell ref="D53:E53"/>
    <mergeCell ref="E54:F54"/>
    <mergeCell ref="D55:E55"/>
    <mergeCell ref="E56:F56"/>
    <mergeCell ref="E57:F57"/>
    <mergeCell ref="D58:E58"/>
    <mergeCell ref="E59:F59"/>
    <mergeCell ref="D60:E60"/>
    <mergeCell ref="E61:F61"/>
    <mergeCell ref="D62:E62"/>
    <mergeCell ref="E63:F63"/>
    <mergeCell ref="D64:E64"/>
    <mergeCell ref="E65:F65"/>
    <mergeCell ref="D66:E66"/>
    <mergeCell ref="E67:F67"/>
    <mergeCell ref="D68:E68"/>
    <mergeCell ref="E69:F69"/>
    <mergeCell ref="D70:E70"/>
    <mergeCell ref="D71:E71"/>
    <mergeCell ref="E72:F72"/>
    <mergeCell ref="D73:E73"/>
    <mergeCell ref="E74:F74"/>
    <mergeCell ref="D75:E75"/>
    <mergeCell ref="E76:F76"/>
    <mergeCell ref="D77:E77"/>
    <mergeCell ref="E78:F78"/>
    <mergeCell ref="D79:E79"/>
    <mergeCell ref="E80:F80"/>
    <mergeCell ref="D81:E81"/>
    <mergeCell ref="D82:E82"/>
    <mergeCell ref="E83:F83"/>
    <mergeCell ref="D84:E84"/>
    <mergeCell ref="E85:F85"/>
    <mergeCell ref="D86:E86"/>
    <mergeCell ref="E87:F87"/>
    <mergeCell ref="D88:E88"/>
    <mergeCell ref="E89:F89"/>
    <mergeCell ref="D90:E90"/>
    <mergeCell ref="E91:F91"/>
    <mergeCell ref="D92:E92"/>
    <mergeCell ref="E93:F93"/>
    <mergeCell ref="D94:E94"/>
    <mergeCell ref="E95:F95"/>
    <mergeCell ref="D96:E96"/>
    <mergeCell ref="E97:F97"/>
    <mergeCell ref="D98:E98"/>
    <mergeCell ref="D99:E99"/>
    <mergeCell ref="E100:F100"/>
    <mergeCell ref="D101:E101"/>
    <mergeCell ref="E102:F102"/>
    <mergeCell ref="D103:E103"/>
    <mergeCell ref="E104:F104"/>
    <mergeCell ref="D105:E105"/>
    <mergeCell ref="E106:F106"/>
    <mergeCell ref="D107:E107"/>
    <mergeCell ref="E108:F108"/>
    <mergeCell ref="D109:E109"/>
    <mergeCell ref="E110:F110"/>
    <mergeCell ref="D111:E111"/>
    <mergeCell ref="E112:F112"/>
    <mergeCell ref="D113:E113"/>
    <mergeCell ref="E114:F114"/>
    <mergeCell ref="D115:E115"/>
    <mergeCell ref="E116:F116"/>
    <mergeCell ref="D117:E117"/>
    <mergeCell ref="E118:F118"/>
    <mergeCell ref="D119:E119"/>
    <mergeCell ref="E120:F120"/>
    <mergeCell ref="D121:E121"/>
    <mergeCell ref="E122:F122"/>
    <mergeCell ref="D123:E123"/>
    <mergeCell ref="E124:F124"/>
    <mergeCell ref="D125:E125"/>
    <mergeCell ref="E126:F126"/>
    <mergeCell ref="D127:E127"/>
    <mergeCell ref="E128:F128"/>
    <mergeCell ref="D129:E129"/>
    <mergeCell ref="E130:F130"/>
    <mergeCell ref="D131:E131"/>
    <mergeCell ref="E132:F132"/>
    <mergeCell ref="D133:E133"/>
    <mergeCell ref="E134:F134"/>
    <mergeCell ref="A137:G137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javurek</dc:creator>
  <cp:keywords/>
  <dc:description/>
  <cp:lastModifiedBy>Jaroslav javurek</cp:lastModifiedBy>
  <cp:lastPrinted>2021-10-17T10:17:10Z</cp:lastPrinted>
  <dcterms:created xsi:type="dcterms:W3CDTF">2021-10-17T10:18:05Z</dcterms:created>
  <dcterms:modified xsi:type="dcterms:W3CDTF">2021-10-17T10:23:21Z</dcterms:modified>
  <cp:category/>
  <cp:version/>
  <cp:contentType/>
  <cp:contentStatus/>
</cp:coreProperties>
</file>