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_xlnm.Print_Titles" localSheetId="0">'Stavební rozpočet'!$10:$11</definedName>
    <definedName name="vorn_sum">'VORN'!$I$34:$I$34</definedName>
  </definedNames>
  <calcPr fullCalcOnLoad="1"/>
</workbook>
</file>

<file path=xl/sharedStrings.xml><?xml version="1.0" encoding="utf-8"?>
<sst xmlns="http://schemas.openxmlformats.org/spreadsheetml/2006/main" count="1765" uniqueCount="509">
  <si>
    <t>Slepý stavební rozpočet</t>
  </si>
  <si>
    <t>Název stavby:</t>
  </si>
  <si>
    <t>Výměna rozvodů splaškové kanalizace na ZŠ HAMR pod objektem školní jídelny parc. č. st. 562</t>
  </si>
  <si>
    <t>Doba výstavby:</t>
  </si>
  <si>
    <t xml:space="preserve"> </t>
  </si>
  <si>
    <t>Objednatel:</t>
  </si>
  <si>
    <t>Městský úřad Litvínov</t>
  </si>
  <si>
    <t>Druh stavby:</t>
  </si>
  <si>
    <t>Oprava a rekonstrukce kanalizace</t>
  </si>
  <si>
    <t>Začátek výstavby:</t>
  </si>
  <si>
    <t>Projektant:</t>
  </si>
  <si>
    <t>MIKRO PRAHA spol. s.r.o.</t>
  </si>
  <si>
    <t>Lokalita:</t>
  </si>
  <si>
    <t>budova bez č.p./č.e. na pozemku parc. č. st. 562 v katastrální území Hamr u Litvínova, Litvínov</t>
  </si>
  <si>
    <t>Konec výstavby:</t>
  </si>
  <si>
    <t>Zhotovitel:</t>
  </si>
  <si>
    <t>0</t>
  </si>
  <si>
    <t>JKSO:</t>
  </si>
  <si>
    <t>801 86</t>
  </si>
  <si>
    <t>Zpracováno dne:</t>
  </si>
  <si>
    <t>Zpracoval: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</si>
  <si>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</si>
  <si>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</si>
  <si>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</si>
  <si>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</si>
  <si>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</si>
  <si>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</si>
  <si>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</si>
  <si>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</si>
  <si>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</si>
  <si>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</si>
  <si>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</si>
  <si>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</si>
  <si>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</si>
  <si>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</si>
  <si>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</si>
  <si>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</si>
  <si>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</si>
  <si>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</si>
  <si>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</si>
  <si>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</si>
  <si>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</si>
  <si>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</si>
  <si>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</si>
  <si>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</si>
  <si>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</si>
  <si>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</si>
  <si>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12</t>
  </si>
  <si>
    <t>Odkopávky a prokopávky</t>
  </si>
  <si>
    <t>1</t>
  </si>
  <si>
    <t>120001101R00</t>
  </si>
  <si>
    <t>Příplatek za ztížení vykopávky v blízkosti vedení venkovní výkop</t>
  </si>
  <si>
    <t>m3</t>
  </si>
  <si>
    <t>RTS I / 2021</t>
  </si>
  <si>
    <t>12_</t>
  </si>
  <si>
    <t>1_</t>
  </si>
  <si>
    <t>_</t>
  </si>
  <si>
    <t>P</t>
  </si>
  <si>
    <t>13</t>
  </si>
  <si>
    <t>Hloubené vykopávky</t>
  </si>
  <si>
    <t>2</t>
  </si>
  <si>
    <t>139711101RT3</t>
  </si>
  <si>
    <t>Vykopávka rýh v  hor.1-4 ručně</t>
  </si>
  <si>
    <t>13_</t>
  </si>
  <si>
    <t>3</t>
  </si>
  <si>
    <t>161101501R00</t>
  </si>
  <si>
    <t>Svislé přemístění výkopku z hor. 1-4 ruční</t>
  </si>
  <si>
    <t>4</t>
  </si>
  <si>
    <t>162201201R00</t>
  </si>
  <si>
    <t>Vodorovné přemíst. výkopku nošením hor.1-4, do 10m</t>
  </si>
  <si>
    <t>5</t>
  </si>
  <si>
    <t>162201209R00</t>
  </si>
  <si>
    <t>Příplatek za dalších 10 m nošení výkopku z hor.1-4 celkem 40m</t>
  </si>
  <si>
    <t>15</t>
  </si>
  <si>
    <t>Roubení</t>
  </si>
  <si>
    <t>6</t>
  </si>
  <si>
    <t>151201101R00</t>
  </si>
  <si>
    <t>Pažení a rozepření stěn rýh - zátažné - hl. do 2 m</t>
  </si>
  <si>
    <t>m2</t>
  </si>
  <si>
    <t>15_</t>
  </si>
  <si>
    <t>7</t>
  </si>
  <si>
    <t>151201111R00</t>
  </si>
  <si>
    <t>Odstranění pažení stěn rýh - zátažné - hl. do 2 m</t>
  </si>
  <si>
    <t>16</t>
  </si>
  <si>
    <t>Přemístění výkopku</t>
  </si>
  <si>
    <t>8</t>
  </si>
  <si>
    <t>167101101R00</t>
  </si>
  <si>
    <t>Nakládání výkopku z hor.1-4 v množství do 100 m3</t>
  </si>
  <si>
    <t>16_</t>
  </si>
  <si>
    <t>9</t>
  </si>
  <si>
    <t>162701105R00</t>
  </si>
  <si>
    <t>Vodorovné přemístění výkopku z hor.1-4 do 10000 m</t>
  </si>
  <si>
    <t>100009</t>
  </si>
  <si>
    <t>10</t>
  </si>
  <si>
    <t>162701109R00</t>
  </si>
  <si>
    <t>Příplatek k vod. přemístění hor.1-4 za další 1 km celkem 20km</t>
  </si>
  <si>
    <t>11</t>
  </si>
  <si>
    <t>199000007R00</t>
  </si>
  <si>
    <t>Poplatek za skládku - hor. 3  včetně uložení</t>
  </si>
  <si>
    <t>t</t>
  </si>
  <si>
    <t>17</t>
  </si>
  <si>
    <t>Konstrukce ze zemin</t>
  </si>
  <si>
    <t>175100020RA0</t>
  </si>
  <si>
    <t>Obsyp potrubí štěrkopískem</t>
  </si>
  <si>
    <t>17_</t>
  </si>
  <si>
    <t>100007</t>
  </si>
  <si>
    <t>174100010RAA</t>
  </si>
  <si>
    <t>Zásyp jam, rýh a šachet sypaninou hutněný</t>
  </si>
  <si>
    <t>14</t>
  </si>
  <si>
    <t>162100010RA01</t>
  </si>
  <si>
    <t>Vodorovné přemístění sypaniny na místo zásypu do 50 m a do 3 m výšky ručně</t>
  </si>
  <si>
    <t>18</t>
  </si>
  <si>
    <t>Povrchové úpravy terénu</t>
  </si>
  <si>
    <t>183403241R001</t>
  </si>
  <si>
    <t>Obnova starého trávníku rytím,hrabáním včetně výsevu nového trávníku</t>
  </si>
  <si>
    <t>18_</t>
  </si>
  <si>
    <t>184807111R00</t>
  </si>
  <si>
    <t>Ochrana stromu bedněním - zřízení</t>
  </si>
  <si>
    <t>184807112R00</t>
  </si>
  <si>
    <t>Ochrana stromu bedněním - odstranění</t>
  </si>
  <si>
    <t>34</t>
  </si>
  <si>
    <t>Stěny a příčky</t>
  </si>
  <si>
    <t>346244371RT2</t>
  </si>
  <si>
    <t>Zazdívka rýh, potrubí, kapes cihlami tl. 14 cm s použitím suché maltové směsi</t>
  </si>
  <si>
    <t>34_</t>
  </si>
  <si>
    <t>3_</t>
  </si>
  <si>
    <t>19</t>
  </si>
  <si>
    <t>346244381RT21</t>
  </si>
  <si>
    <t>Zazdívka a úprava povrchů v místě napojení nové a stávající kanalizace</t>
  </si>
  <si>
    <t>ks</t>
  </si>
  <si>
    <t>61</t>
  </si>
  <si>
    <t>Úprava povrchů vnitřní</t>
  </si>
  <si>
    <t>20</t>
  </si>
  <si>
    <t>611100010RA0</t>
  </si>
  <si>
    <t>Omítka  vnitřní vápenocementová štuková</t>
  </si>
  <si>
    <t>61_</t>
  </si>
  <si>
    <t>6_</t>
  </si>
  <si>
    <t>63</t>
  </si>
  <si>
    <t>Podlahy a podlahové konstrukce</t>
  </si>
  <si>
    <t>21</t>
  </si>
  <si>
    <t>631313611RT4</t>
  </si>
  <si>
    <t>Mazanina betonová tl. 8 - 12 cm C 16/20 vyztužená ocelovými vlákny 30 kg / m3</t>
  </si>
  <si>
    <t>63_</t>
  </si>
  <si>
    <t>22</t>
  </si>
  <si>
    <t>631361921RT5</t>
  </si>
  <si>
    <t>Výztuž mazanin svařovanou sítí</t>
  </si>
  <si>
    <t>711</t>
  </si>
  <si>
    <t>Izolace proti vodě</t>
  </si>
  <si>
    <t>23</t>
  </si>
  <si>
    <t>711140024RAA</t>
  </si>
  <si>
    <t xml:space="preserve"> Oprava a doplnění Izolace proti vodě</t>
  </si>
  <si>
    <t>711_</t>
  </si>
  <si>
    <t>71_</t>
  </si>
  <si>
    <t>721</t>
  </si>
  <si>
    <t>Vnitřní kanalizace</t>
  </si>
  <si>
    <t>24</t>
  </si>
  <si>
    <t>721140802R00</t>
  </si>
  <si>
    <t>Demontáž potrubí litinového do DN 125</t>
  </si>
  <si>
    <t>m</t>
  </si>
  <si>
    <t>721_</t>
  </si>
  <si>
    <t>72_</t>
  </si>
  <si>
    <t>25</t>
  </si>
  <si>
    <t>721176232R00</t>
  </si>
  <si>
    <t>Potrubí KG svodné (ležaté) zavěšené D 110 x 3,2 mm včetně tvarovek , závěsů a těsnění</t>
  </si>
  <si>
    <t>26</t>
  </si>
  <si>
    <t>721176233R00</t>
  </si>
  <si>
    <t>Potrubí KG svodné (ležaté) zavěšené D 125 x 3,2 mm včetně tvarovek , závěsů a těsnění</t>
  </si>
  <si>
    <t>27</t>
  </si>
  <si>
    <t>721177126R00</t>
  </si>
  <si>
    <t>Čisticí kus pro  D 125</t>
  </si>
  <si>
    <t>kus</t>
  </si>
  <si>
    <t>28</t>
  </si>
  <si>
    <t>721176102R00</t>
  </si>
  <si>
    <t>Potrubí HT připojovací D 40 x 1,8 mm včetně tvarovek , závěsů a těsnění</t>
  </si>
  <si>
    <t>29</t>
  </si>
  <si>
    <t>721176103R00</t>
  </si>
  <si>
    <t>Potrubí HT připojovací D 50 x 1,8 mm včetně tvarovek , závěsů a těsnění</t>
  </si>
  <si>
    <t>30</t>
  </si>
  <si>
    <t>721176104R00</t>
  </si>
  <si>
    <t>Potrubí HT připojovací D 75 x 1,9 mm včetně tvarovek , závěsů a těsnění</t>
  </si>
  <si>
    <t>31</t>
  </si>
  <si>
    <t>721176115R00</t>
  </si>
  <si>
    <t>Potrubí HT odpadní svislé D 110 x 2,7 mm včetně tvarovek , závěsů a těsnění</t>
  </si>
  <si>
    <t>100011</t>
  </si>
  <si>
    <t>32</t>
  </si>
  <si>
    <t>721177124R00</t>
  </si>
  <si>
    <t>Čisticí kus pro D 75</t>
  </si>
  <si>
    <t>33</t>
  </si>
  <si>
    <t>721177125R00</t>
  </si>
  <si>
    <t>Čisticí kus  D 110</t>
  </si>
  <si>
    <t>721223424RT11</t>
  </si>
  <si>
    <t>Vpusť podlahová DN 100,0,,8 l/s nerez mřížka suchý sifon</t>
  </si>
  <si>
    <t>35</t>
  </si>
  <si>
    <t>721110918R00</t>
  </si>
  <si>
    <t>Napojení kanalizace na stávající kanalizaci před objektem</t>
  </si>
  <si>
    <t>36</t>
  </si>
  <si>
    <t>721100010RAA</t>
  </si>
  <si>
    <t>Oprava potrubí  propojení nového a stávajícího potrubí</t>
  </si>
  <si>
    <t>37</t>
  </si>
  <si>
    <t>721290112R00</t>
  </si>
  <si>
    <t>Zkouška těsnosti kanalizace  do DN 200</t>
  </si>
  <si>
    <t>38</t>
  </si>
  <si>
    <t>7219991099VD</t>
  </si>
  <si>
    <t>Dokumentace skutečného provedení</t>
  </si>
  <si>
    <t>kpl</t>
  </si>
  <si>
    <t>39</t>
  </si>
  <si>
    <t>7219991098VD</t>
  </si>
  <si>
    <t>Průzkum stávajícího vedení kanalizace</t>
  </si>
  <si>
    <t>723</t>
  </si>
  <si>
    <t>Vnitřní plynovod</t>
  </si>
  <si>
    <t>40</t>
  </si>
  <si>
    <t>723190204R00</t>
  </si>
  <si>
    <t>D+M prostup stěnou chránička pr 130 včetně zatmelené (izolace prostupu</t>
  </si>
  <si>
    <t>soubor</t>
  </si>
  <si>
    <t>723_</t>
  </si>
  <si>
    <t>725</t>
  </si>
  <si>
    <t>Zařizovací předměty</t>
  </si>
  <si>
    <t>41</t>
  </si>
  <si>
    <t>725860180RT1</t>
  </si>
  <si>
    <t>Sifon pračkový HL400, D 40/50 mm nerezový</t>
  </si>
  <si>
    <t>725_</t>
  </si>
  <si>
    <t>100012</t>
  </si>
  <si>
    <t>42</t>
  </si>
  <si>
    <t>725980113RT12</t>
  </si>
  <si>
    <t>Dvířka revizní 200 x 300 mm nerezova</t>
  </si>
  <si>
    <t>43</t>
  </si>
  <si>
    <t>725114912R00</t>
  </si>
  <si>
    <t>Demontáž a zpětné napojení stávajících zařizovacích předmětů na nový rozvod</t>
  </si>
  <si>
    <t>44</t>
  </si>
  <si>
    <t>725249102R03</t>
  </si>
  <si>
    <t>Montáž a Dodávka  sprchových zástěn dveře shrnovací 1 m</t>
  </si>
  <si>
    <t>771</t>
  </si>
  <si>
    <t>Podlahy z dlaždic</t>
  </si>
  <si>
    <t>45</t>
  </si>
  <si>
    <t>771101101R00</t>
  </si>
  <si>
    <t>Vysávání podlah prům.vysavačem pro pokládku dlažby</t>
  </si>
  <si>
    <t>771_</t>
  </si>
  <si>
    <t>77_</t>
  </si>
  <si>
    <t>46</t>
  </si>
  <si>
    <t>771101115R00</t>
  </si>
  <si>
    <t>Vyrovnání podkladů samonivel. hmotou tl. do 10 mm</t>
  </si>
  <si>
    <t>47</t>
  </si>
  <si>
    <t>771101141R00</t>
  </si>
  <si>
    <t>Provedení hydroizol. stěrky pod dlažby jednovrstvé</t>
  </si>
  <si>
    <t>48</t>
  </si>
  <si>
    <t>771101210R00</t>
  </si>
  <si>
    <t>Penetrace podkladu pod dlažby</t>
  </si>
  <si>
    <t>49</t>
  </si>
  <si>
    <t>771575107RW1</t>
  </si>
  <si>
    <t>Pokládka podlah keram.do tmele- doplnění stávající dlažby včetně oprav v 1.NP</t>
  </si>
  <si>
    <t>50</t>
  </si>
  <si>
    <t>59764210</t>
  </si>
  <si>
    <t>Dlažba    protiskluzná dle výběru uživatele</t>
  </si>
  <si>
    <t>M</t>
  </si>
  <si>
    <t>776</t>
  </si>
  <si>
    <t>Podlahy povlakové</t>
  </si>
  <si>
    <t>51</t>
  </si>
  <si>
    <t>776421100RU1</t>
  </si>
  <si>
    <t>Lepení podlahových soklíků z PVC a vinylu</t>
  </si>
  <si>
    <t>776_</t>
  </si>
  <si>
    <t>52</t>
  </si>
  <si>
    <t>776511820R00</t>
  </si>
  <si>
    <t>Odstranění PVC a koberců lepených s podložkou</t>
  </si>
  <si>
    <t>53</t>
  </si>
  <si>
    <t>776101101R00</t>
  </si>
  <si>
    <t>Vysávání podlah prům.vysavačem pod povlak.podlahy</t>
  </si>
  <si>
    <t>54</t>
  </si>
  <si>
    <t>776101115R00</t>
  </si>
  <si>
    <t>Vyrovnání podkladů samonivelační hmotou</t>
  </si>
  <si>
    <t>55</t>
  </si>
  <si>
    <t>776994111RT1</t>
  </si>
  <si>
    <t>Svařování povlakových podlah z pásů nebo čtverců</t>
  </si>
  <si>
    <t>56</t>
  </si>
  <si>
    <t>776521200RV1</t>
  </si>
  <si>
    <t>Lepení povlakových podlah z dílců PVC a CV (vinyl) včetně dodávky podlahoviny</t>
  </si>
  <si>
    <t>777</t>
  </si>
  <si>
    <t>Podlahy ze syntetických hmot</t>
  </si>
  <si>
    <t>57</t>
  </si>
  <si>
    <t>777245234R001</t>
  </si>
  <si>
    <t>Podlaha betonová stěrka včatně samonivelační vrstvy</t>
  </si>
  <si>
    <t>777_</t>
  </si>
  <si>
    <t>781</t>
  </si>
  <si>
    <t>Obklady (keramické)</t>
  </si>
  <si>
    <t>58</t>
  </si>
  <si>
    <t>781111116R00</t>
  </si>
  <si>
    <t>Otvor v obkladačce diamant.korunkou prům.do 90 mm</t>
  </si>
  <si>
    <t>781_</t>
  </si>
  <si>
    <t>78_</t>
  </si>
  <si>
    <t>59</t>
  </si>
  <si>
    <t>781475116RU1</t>
  </si>
  <si>
    <t>Obklad vnitřní stěn keramický, do tmele do 30x30 cm</t>
  </si>
  <si>
    <t>60</t>
  </si>
  <si>
    <t>781779701R00</t>
  </si>
  <si>
    <t>Přípl.za práci v omez.prostoru</t>
  </si>
  <si>
    <t>781779705RT2</t>
  </si>
  <si>
    <t>Příplatek za spár.hmotu-plošně</t>
  </si>
  <si>
    <t>62</t>
  </si>
  <si>
    <t>597813667</t>
  </si>
  <si>
    <t>Obkládačka 200*250 standard</t>
  </si>
  <si>
    <t>784</t>
  </si>
  <si>
    <t>Malby</t>
  </si>
  <si>
    <t>784011121R00</t>
  </si>
  <si>
    <t>Broušení štuků a nových omítek</t>
  </si>
  <si>
    <t>784_</t>
  </si>
  <si>
    <t>64</t>
  </si>
  <si>
    <t>784011211RT3</t>
  </si>
  <si>
    <t>Olepování vnitřních ploch</t>
  </si>
  <si>
    <t>65</t>
  </si>
  <si>
    <t>784111101R00</t>
  </si>
  <si>
    <t>Penetrace podkladu nátěrem   1 x</t>
  </si>
  <si>
    <t>66</t>
  </si>
  <si>
    <t>784195322R00</t>
  </si>
  <si>
    <t>Malba  bez penetrace,2 x</t>
  </si>
  <si>
    <t>67</t>
  </si>
  <si>
    <t>784402801R00</t>
  </si>
  <si>
    <t>Odstranění malby oškrábáním v místnosti H do 3,8 m</t>
  </si>
  <si>
    <t>89</t>
  </si>
  <si>
    <t>Ostatní konstrukce a práce na trubním vedení</t>
  </si>
  <si>
    <t>68</t>
  </si>
  <si>
    <t>894410010RAC2</t>
  </si>
  <si>
    <t>Šachta kanalizační - oprava stávající pro DN 200 výška vstupu do 2 m</t>
  </si>
  <si>
    <t>89_</t>
  </si>
  <si>
    <t>8_</t>
  </si>
  <si>
    <t>69</t>
  </si>
  <si>
    <t>894410010RAC3</t>
  </si>
  <si>
    <t>Šachta kanalizační - zasypání (likvidace)výška vstupu 2,1 m</t>
  </si>
  <si>
    <t>90</t>
  </si>
  <si>
    <t>Hodinové zúčtovací sazby (HZS)</t>
  </si>
  <si>
    <t>70</t>
  </si>
  <si>
    <t>900999107VD</t>
  </si>
  <si>
    <t>úprava prostor stěhování,přemístění zařízení před zahájením prací</t>
  </si>
  <si>
    <t>90_</t>
  </si>
  <si>
    <t>9_</t>
  </si>
  <si>
    <t>94</t>
  </si>
  <si>
    <t>Lešení a stavební výtahy</t>
  </si>
  <si>
    <t>71</t>
  </si>
  <si>
    <t>941955002R00</t>
  </si>
  <si>
    <t>Lešení lehké pomocné, výška podlahy do 1,9 m</t>
  </si>
  <si>
    <t>94_</t>
  </si>
  <si>
    <t>95</t>
  </si>
  <si>
    <t>Různé dokončovací konstrukce a práce na pozemních stavbách</t>
  </si>
  <si>
    <t>72</t>
  </si>
  <si>
    <t>952901111R00</t>
  </si>
  <si>
    <t>Vyčištění budov o výšce podlaží do 4 m</t>
  </si>
  <si>
    <t>95_</t>
  </si>
  <si>
    <t>73</t>
  </si>
  <si>
    <t>952902110R00</t>
  </si>
  <si>
    <t>Čištění zametáním v místnostech a chodbách denní úklid</t>
  </si>
  <si>
    <t>96</t>
  </si>
  <si>
    <t>Bourání konstrukcí</t>
  </si>
  <si>
    <t>74</t>
  </si>
  <si>
    <t>965042241RT1</t>
  </si>
  <si>
    <t>Bourání mazanin betonových tl. nad 10 cm, nad 4 m2</t>
  </si>
  <si>
    <t>96_</t>
  </si>
  <si>
    <t>100002</t>
  </si>
  <si>
    <t>97</t>
  </si>
  <si>
    <t>Prorážení otvorů a ostatní bourací práce</t>
  </si>
  <si>
    <t>75</t>
  </si>
  <si>
    <t>970241150R00</t>
  </si>
  <si>
    <t>Řezání prostého betonu hl. řezu 150 mm</t>
  </si>
  <si>
    <t>97_</t>
  </si>
  <si>
    <t>76</t>
  </si>
  <si>
    <t>971042461R00</t>
  </si>
  <si>
    <t>Vybourání otvorů v konstrukci cihelné a betonové pl. 0,25 m2, tl.60cm</t>
  </si>
  <si>
    <t>77</t>
  </si>
  <si>
    <t>974031164R00</t>
  </si>
  <si>
    <t>Vysekání rýh ve zdi cihelné včetně obsekání potrubí 15 x 15 cm</t>
  </si>
  <si>
    <t>78</t>
  </si>
  <si>
    <t>978500010RA0</t>
  </si>
  <si>
    <t>Odsekání vnitřních obkladů lokálně</t>
  </si>
  <si>
    <t>H99</t>
  </si>
  <si>
    <t>Ostatní přesuny hmot</t>
  </si>
  <si>
    <t>79</t>
  </si>
  <si>
    <t>999281108R00</t>
  </si>
  <si>
    <t>Přesun hmot pro opravy a údržbu do výšky 12 m</t>
  </si>
  <si>
    <t>H99_</t>
  </si>
  <si>
    <t>M46</t>
  </si>
  <si>
    <t>Zemní práce při montážích</t>
  </si>
  <si>
    <t>80</t>
  </si>
  <si>
    <t>460680044R00</t>
  </si>
  <si>
    <t>Průraz zdivem v betonové zdi tloušťky 60 cm</t>
  </si>
  <si>
    <t>M46_</t>
  </si>
  <si>
    <t>81</t>
  </si>
  <si>
    <t>460010024R00</t>
  </si>
  <si>
    <t>Vytýčení kabelové trasy v zastavěném prostoru</t>
  </si>
  <si>
    <t>S</t>
  </si>
  <si>
    <t>Přesuny sutí</t>
  </si>
  <si>
    <t>82</t>
  </si>
  <si>
    <t>979087313R00</t>
  </si>
  <si>
    <t>Nakládání vybouraných hmot na dopravní prostředek</t>
  </si>
  <si>
    <t>S_</t>
  </si>
  <si>
    <t>83</t>
  </si>
  <si>
    <t>979087391R00</t>
  </si>
  <si>
    <t>Příplatek za nošení suti každých dalších 10 m  (30m)</t>
  </si>
  <si>
    <t>84</t>
  </si>
  <si>
    <t>979081111RT3</t>
  </si>
  <si>
    <t>Odvoz suti a vybour. hmot na skládku do 1 km</t>
  </si>
  <si>
    <t>85</t>
  </si>
  <si>
    <t>979081121RT2</t>
  </si>
  <si>
    <t>Příplatek k odvozu za každý další 1 km (25)</t>
  </si>
  <si>
    <t>86</t>
  </si>
  <si>
    <t>979990107R00</t>
  </si>
  <si>
    <t>Poplatek za skládku suti - směs betonu,cihel,dřeva</t>
  </si>
  <si>
    <t>87</t>
  </si>
  <si>
    <t>979011211R00</t>
  </si>
  <si>
    <t>Svislá doprava suti a vybour. hmot nošením</t>
  </si>
  <si>
    <t>88</t>
  </si>
  <si>
    <t>979990122R00</t>
  </si>
  <si>
    <t>Poplatek za skládku suti - PVC</t>
  </si>
  <si>
    <t>Poznámka:</t>
  </si>
  <si>
    <t>Pokud není uvedeno jinak oceňují se všechny položky jako součet práce a materiálu včetně pomocného a režií.</t>
  </si>
  <si>
    <t>Slepý stavební rozpočet - rekapitulace</t>
  </si>
  <si>
    <t>02.09.2021</t>
  </si>
  <si>
    <t>Objekt</t>
  </si>
  <si>
    <t>Náklady (Kč) - celkem</t>
  </si>
  <si>
    <t>T</t>
  </si>
  <si>
    <t>Celkem:</t>
  </si>
  <si>
    <t>Výkaz výměr</t>
  </si>
  <si>
    <t>Potřebné množství</t>
  </si>
  <si>
    <t>8*1,6*0,8</t>
  </si>
  <si>
    <t>36*1,6*0,8</t>
  </si>
  <si>
    <t>46,08</t>
  </si>
  <si>
    <t>2*46,08</t>
  </si>
  <si>
    <t>36*1,6</t>
  </si>
  <si>
    <t>16,3</t>
  </si>
  <si>
    <t>16,3*10</t>
  </si>
  <si>
    <t>29,2</t>
  </si>
  <si>
    <t>9*3</t>
  </si>
  <si>
    <t>36*0,8*0,13</t>
  </si>
  <si>
    <t>4,5*36*2*0,001</t>
  </si>
  <si>
    <t>0,25*324*0,001</t>
  </si>
  <si>
    <t>36*2*1,2</t>
  </si>
  <si>
    <t>27+10+65+3+35+32+20</t>
  </si>
  <si>
    <t>192</t>
  </si>
  <si>
    <t>opravy v 1 NP</t>
  </si>
  <si>
    <t>opravy 1.NP</t>
  </si>
  <si>
    <t>;ztratné 20%; 3,8</t>
  </si>
  <si>
    <t>91,8</t>
  </si>
  <si>
    <t>;ztratné 10%; 2,4</t>
  </si>
  <si>
    <t>25,16+3,5+4,65+24+18,93</t>
  </si>
  <si>
    <t>76,24</t>
  </si>
  <si>
    <t>2+1</t>
  </si>
  <si>
    <t>100</t>
  </si>
  <si>
    <t>1000</t>
  </si>
  <si>
    <t>36*2</t>
  </si>
  <si>
    <t>1+27+3+8+19+1+1+1+6+11+2+1</t>
  </si>
  <si>
    <t>3*26</t>
  </si>
  <si>
    <t>25*26</t>
  </si>
  <si>
    <t>0,5</t>
  </si>
  <si>
    <t>Pokud není uvedeno jinak oceňují se všechny položky jako součet práce a materiálu včtně pomocného a režií.</t>
  </si>
  <si>
    <t>Krycí list slepého rozpočtu</t>
  </si>
  <si>
    <t>IČ/DIČ:</t>
  </si>
  <si>
    <t>00266027/CZ00266027</t>
  </si>
  <si>
    <t>27145611/CZ27145611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</si>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</sst>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3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5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2" fillId="0" borderId="1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5" fontId="1" fillId="0" borderId="3" xfId="0" applyNumberFormat="1" applyFont="1" applyFill="1" applyBorder="1" applyAlignment="1" applyProtection="1">
      <alignment horizontal="left" vertical="center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6" xfId="0" applyNumberFormat="1" applyFont="1" applyFill="1" applyBorder="1" applyAlignment="1" applyProtection="1">
      <alignment horizontal="left" vertical="center" wrapText="1"/>
      <protection/>
    </xf>
    <xf numFmtId="165" fontId="1" fillId="2" borderId="6" xfId="0" applyNumberFormat="1" applyFont="1" applyFill="1" applyBorder="1" applyAlignment="1" applyProtection="1">
      <alignment horizontal="left" vertical="center"/>
      <protection locked="0"/>
    </xf>
    <xf numFmtId="164" fontId="1" fillId="0" borderId="7" xfId="0" applyNumberFormat="1" applyFont="1" applyFill="1" applyBorder="1" applyAlignment="1" applyProtection="1">
      <alignment horizontal="left" vertical="center" wrapText="1"/>
      <protection/>
    </xf>
    <xf numFmtId="164" fontId="1" fillId="0" borderId="8" xfId="0" applyNumberFormat="1" applyFont="1" applyFill="1" applyBorder="1" applyAlignment="1" applyProtection="1">
      <alignment horizontal="left" vertical="center" wrapText="1"/>
      <protection/>
    </xf>
    <xf numFmtId="165" fontId="1" fillId="0" borderId="8" xfId="0" applyNumberFormat="1" applyFont="1" applyFill="1" applyBorder="1" applyAlignment="1" applyProtection="1">
      <alignment horizontal="left" vertical="center"/>
      <protection/>
    </xf>
    <xf numFmtId="165" fontId="1" fillId="2" borderId="8" xfId="0" applyNumberFormat="1" applyFont="1" applyFill="1" applyBorder="1" applyAlignment="1" applyProtection="1">
      <alignment horizontal="left" vertical="center"/>
      <protection locked="0"/>
    </xf>
    <xf numFmtId="164" fontId="1" fillId="2" borderId="9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3" borderId="0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14" xfId="0" applyNumberFormat="1" applyFont="1" applyFill="1" applyBorder="1" applyAlignment="1" applyProtection="1">
      <alignment horizontal="left" vertical="center"/>
      <protection/>
    </xf>
    <xf numFmtId="165" fontId="1" fillId="0" borderId="15" xfId="0" applyNumberFormat="1" applyFont="1" applyFill="1" applyBorder="1" applyAlignment="1" applyProtection="1">
      <alignment horizontal="left" vertical="center"/>
      <protection/>
    </xf>
    <xf numFmtId="165" fontId="3" fillId="0" borderId="15" xfId="0" applyNumberFormat="1" applyFont="1" applyFill="1" applyBorder="1" applyAlignment="1" applyProtection="1">
      <alignment horizontal="left" vertical="center"/>
      <protection/>
    </xf>
    <xf numFmtId="165" fontId="3" fillId="0" borderId="15" xfId="0" applyNumberFormat="1" applyFont="1" applyFill="1" applyBorder="1" applyAlignment="1" applyProtection="1">
      <alignment horizontal="center" vertical="center"/>
      <protection/>
    </xf>
    <xf numFmtId="165" fontId="3" fillId="0" borderId="16" xfId="0" applyNumberFormat="1" applyFont="1" applyFill="1" applyBorder="1" applyAlignment="1" applyProtection="1">
      <alignment horizontal="center" vertical="center"/>
      <protection/>
    </xf>
    <xf numFmtId="165" fontId="3" fillId="0" borderId="17" xfId="0" applyNumberFormat="1" applyFont="1" applyFill="1" applyBorder="1" applyAlignment="1" applyProtection="1">
      <alignment horizontal="center" vertical="center"/>
      <protection/>
    </xf>
    <xf numFmtId="165" fontId="4" fillId="3" borderId="18" xfId="0" applyNumberFormat="1" applyFont="1" applyFill="1" applyBorder="1" applyAlignment="1" applyProtection="1">
      <alignment horizontal="left" vertical="center"/>
      <protection/>
    </xf>
    <xf numFmtId="165" fontId="5" fillId="3" borderId="19" xfId="0" applyNumberFormat="1" applyFont="1" applyFill="1" applyBorder="1" applyAlignment="1" applyProtection="1">
      <alignment horizontal="left" vertical="center"/>
      <protection/>
    </xf>
    <xf numFmtId="165" fontId="4" fillId="3" borderId="19" xfId="0" applyNumberFormat="1" applyFont="1" applyFill="1" applyBorder="1" applyAlignment="1" applyProtection="1">
      <alignment horizontal="left" vertical="center"/>
      <protection/>
    </xf>
    <xf numFmtId="166" fontId="5" fillId="3" borderId="19" xfId="0" applyNumberFormat="1" applyFont="1" applyFill="1" applyBorder="1" applyAlignment="1" applyProtection="1">
      <alignment horizontal="right" vertical="center"/>
      <protection/>
    </xf>
    <xf numFmtId="165" fontId="5" fillId="3" borderId="20" xfId="0" applyNumberFormat="1" applyFont="1" applyFill="1" applyBorder="1" applyAlignment="1" applyProtection="1">
      <alignment horizontal="right" vertical="center"/>
      <protection/>
    </xf>
    <xf numFmtId="166" fontId="3" fillId="3" borderId="0" xfId="0" applyNumberFormat="1" applyFont="1" applyFill="1" applyBorder="1" applyAlignment="1" applyProtection="1">
      <alignment horizontal="right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6" fontId="4" fillId="4" borderId="0" xfId="0" applyNumberFormat="1" applyFont="1" applyFill="1" applyBorder="1" applyAlignment="1" applyProtection="1">
      <alignment horizontal="right" vertical="center"/>
      <protection/>
    </xf>
    <xf numFmtId="166" fontId="4" fillId="2" borderId="0" xfId="0" applyNumberFormat="1" applyFont="1" applyFill="1" applyBorder="1" applyAlignment="1" applyProtection="1">
      <alignment horizontal="right" vertical="center"/>
      <protection locked="0"/>
    </xf>
    <xf numFmtId="166" fontId="4" fillId="0" borderId="0" xfId="0" applyNumberFormat="1" applyFont="1" applyFill="1" applyBorder="1" applyAlignment="1" applyProtection="1">
      <alignment horizontal="right" vertical="center"/>
      <protection/>
    </xf>
    <xf numFmtId="165" fontId="6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4" fillId="3" borderId="5" xfId="0" applyNumberFormat="1" applyFont="1" applyFill="1" applyBorder="1" applyAlignment="1" applyProtection="1">
      <alignment horizontal="left" vertical="center"/>
      <protection/>
    </xf>
    <xf numFmtId="165" fontId="5" fillId="3" borderId="0" xfId="0" applyNumberFormat="1" applyFont="1" applyFill="1" applyBorder="1" applyAlignment="1" applyProtection="1">
      <alignment horizontal="left" vertical="center"/>
      <protection/>
    </xf>
    <xf numFmtId="165" fontId="4" fillId="3" borderId="0" xfId="0" applyNumberFormat="1" applyFont="1" applyFill="1" applyBorder="1" applyAlignment="1" applyProtection="1">
      <alignment horizontal="left" vertical="center"/>
      <protection/>
    </xf>
    <xf numFmtId="166" fontId="5" fillId="3" borderId="0" xfId="0" applyNumberFormat="1" applyFont="1" applyFill="1" applyBorder="1" applyAlignment="1" applyProtection="1">
      <alignment horizontal="right" vertical="center"/>
      <protection/>
    </xf>
    <xf numFmtId="165" fontId="7" fillId="3" borderId="6" xfId="0" applyNumberFormat="1" applyFont="1" applyFill="1" applyBorder="1" applyAlignment="1" applyProtection="1">
      <alignment horizontal="right" vertical="center"/>
      <protection/>
    </xf>
    <xf numFmtId="166" fontId="4" fillId="2" borderId="0" xfId="0" applyNumberFormat="1" applyFont="1" applyFill="1" applyBorder="1" applyAlignment="1" applyProtection="1">
      <alignment horizontal="right" vertical="center"/>
      <protection/>
    </xf>
    <xf numFmtId="165" fontId="4" fillId="0" borderId="21" xfId="0" applyNumberFormat="1" applyFont="1" applyFill="1" applyBorder="1" applyAlignment="1" applyProtection="1">
      <alignment horizontal="left" vertical="center"/>
      <protection/>
    </xf>
    <xf numFmtId="165" fontId="4" fillId="0" borderId="22" xfId="0" applyNumberFormat="1" applyFont="1" applyFill="1" applyBorder="1" applyAlignment="1" applyProtection="1">
      <alignment horizontal="left" vertical="center"/>
      <protection/>
    </xf>
    <xf numFmtId="166" fontId="4" fillId="0" borderId="22" xfId="0" applyNumberFormat="1" applyFont="1" applyFill="1" applyBorder="1" applyAlignment="1" applyProtection="1">
      <alignment horizontal="right" vertical="center"/>
      <protection/>
    </xf>
    <xf numFmtId="166" fontId="4" fillId="2" borderId="22" xfId="0" applyNumberFormat="1" applyFont="1" applyFill="1" applyBorder="1" applyAlignment="1" applyProtection="1">
      <alignment horizontal="right" vertical="center"/>
      <protection locked="0"/>
    </xf>
    <xf numFmtId="165" fontId="6" fillId="0" borderId="23" xfId="0" applyNumberFormat="1" applyFont="1" applyFill="1" applyBorder="1" applyAlignment="1" applyProtection="1">
      <alignment horizontal="right" vertical="center"/>
      <protection/>
    </xf>
    <xf numFmtId="164" fontId="4" fillId="0" borderId="24" xfId="0" applyNumberFormat="1" applyFont="1" applyFill="1" applyBorder="1" applyAlignment="1" applyProtection="1">
      <alignment vertical="center"/>
      <protection/>
    </xf>
    <xf numFmtId="164" fontId="4" fillId="0" borderId="25" xfId="0" applyNumberFormat="1" applyFont="1" applyFill="1" applyBorder="1" applyAlignment="1" applyProtection="1">
      <alignment vertical="center"/>
      <protection/>
    </xf>
    <xf numFmtId="166" fontId="5" fillId="0" borderId="25" xfId="0" applyNumberFormat="1" applyFont="1" applyFill="1" applyBorder="1" applyAlignment="1" applyProtection="1">
      <alignment horizontal="right" vertical="center"/>
      <protection/>
    </xf>
    <xf numFmtId="164" fontId="4" fillId="0" borderId="26" xfId="0" applyNumberFormat="1" applyFont="1" applyFill="1" applyBorder="1" applyAlignment="1" applyProtection="1">
      <alignment vertical="center"/>
      <protection/>
    </xf>
    <xf numFmtId="165" fontId="8" fillId="0" borderId="18" xfId="0" applyNumberFormat="1" applyFont="1" applyFill="1" applyBorder="1" applyAlignment="1" applyProtection="1">
      <alignment horizontal="left" vertical="center"/>
      <protection/>
    </xf>
    <xf numFmtId="164" fontId="1" fillId="0" borderId="19" xfId="0" applyFont="1" applyBorder="1" applyAlignment="1">
      <alignment vertical="center"/>
    </xf>
    <xf numFmtId="164" fontId="1" fillId="0" borderId="20" xfId="0" applyFont="1" applyBorder="1" applyAlignment="1">
      <alignment vertical="center"/>
    </xf>
    <xf numFmtId="164" fontId="1" fillId="0" borderId="17" xfId="0" applyNumberFormat="1" applyFont="1" applyFill="1" applyBorder="1" applyAlignment="1" applyProtection="1">
      <alignment horizontal="left" vertical="center" wrapText="1"/>
      <protection/>
    </xf>
    <xf numFmtId="165" fontId="1" fillId="0" borderId="22" xfId="0" applyNumberFormat="1" applyFont="1" applyFill="1" applyBorder="1" applyAlignment="1" applyProtection="1">
      <alignment horizontal="left" vertical="center"/>
      <protection/>
    </xf>
    <xf numFmtId="164" fontId="1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27" xfId="0" applyNumberFormat="1" applyFont="1" applyFill="1" applyBorder="1" applyAlignment="1" applyProtection="1">
      <alignment horizontal="left" vertical="center"/>
      <protection/>
    </xf>
    <xf numFmtId="165" fontId="3" fillId="0" borderId="28" xfId="0" applyNumberFormat="1" applyFont="1" applyFill="1" applyBorder="1" applyAlignment="1" applyProtection="1">
      <alignment horizontal="left" vertical="center"/>
      <protection/>
    </xf>
    <xf numFmtId="165" fontId="3" fillId="0" borderId="29" xfId="0" applyNumberFormat="1" applyFont="1" applyFill="1" applyBorder="1" applyAlignment="1" applyProtection="1">
      <alignment horizontal="left" vertical="center"/>
      <protection/>
    </xf>
    <xf numFmtId="164" fontId="1" fillId="0" borderId="30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4" fontId="1" fillId="0" borderId="31" xfId="0" applyNumberFormat="1" applyFont="1" applyFill="1" applyBorder="1" applyAlignment="1" applyProtection="1">
      <alignment vertical="center"/>
      <protection/>
    </xf>
    <xf numFmtId="165" fontId="3" fillId="0" borderId="32" xfId="0" applyNumberFormat="1" applyFont="1" applyFill="1" applyBorder="1" applyAlignment="1" applyProtection="1">
      <alignment horizontal="center" vertical="center"/>
      <protection/>
    </xf>
    <xf numFmtId="165" fontId="1" fillId="0" borderId="18" xfId="0" applyNumberFormat="1" applyFont="1" applyFill="1" applyBorder="1" applyAlignment="1" applyProtection="1">
      <alignment horizontal="left" vertical="center"/>
      <protection/>
    </xf>
    <xf numFmtId="165" fontId="1" fillId="0" borderId="19" xfId="0" applyNumberFormat="1" applyFont="1" applyFill="1" applyBorder="1" applyAlignment="1" applyProtection="1">
      <alignment horizontal="left" vertical="center"/>
      <protection/>
    </xf>
    <xf numFmtId="166" fontId="1" fillId="0" borderId="20" xfId="0" applyNumberFormat="1" applyFont="1" applyFill="1" applyBorder="1" applyAlignment="1" applyProtection="1">
      <alignment horizontal="right" vertical="center"/>
      <protection/>
    </xf>
    <xf numFmtId="165" fontId="1" fillId="0" borderId="5" xfId="0" applyNumberFormat="1" applyFont="1" applyFill="1" applyBorder="1" applyAlignment="1" applyProtection="1">
      <alignment horizontal="left" vertical="center"/>
      <protection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4" fontId="1" fillId="0" borderId="7" xfId="0" applyFont="1" applyBorder="1" applyAlignment="1">
      <alignment vertical="center"/>
    </xf>
    <xf numFmtId="164" fontId="1" fillId="0" borderId="8" xfId="0" applyFont="1" applyBorder="1" applyAlignment="1">
      <alignment vertical="center"/>
    </xf>
    <xf numFmtId="165" fontId="3" fillId="0" borderId="8" xfId="0" applyNumberFormat="1" applyFont="1" applyFill="1" applyBorder="1" applyAlignment="1" applyProtection="1">
      <alignment horizontal="left" vertical="center"/>
      <protection/>
    </xf>
    <xf numFmtId="166" fontId="3" fillId="0" borderId="9" xfId="0" applyNumberFormat="1" applyFont="1" applyFill="1" applyBorder="1" applyAlignment="1" applyProtection="1">
      <alignment horizontal="right" vertical="center"/>
      <protection/>
    </xf>
    <xf numFmtId="165" fontId="2" fillId="0" borderId="22" xfId="0" applyNumberFormat="1" applyFont="1" applyFill="1" applyBorder="1" applyAlignment="1" applyProtection="1">
      <alignment horizontal="center"/>
      <protection/>
    </xf>
    <xf numFmtId="164" fontId="1" fillId="0" borderId="30" xfId="0" applyNumberFormat="1" applyFont="1" applyFill="1" applyBorder="1" applyAlignment="1" applyProtection="1">
      <alignment horizontal="left" vertical="center" wrapText="1"/>
      <protection/>
    </xf>
    <xf numFmtId="164" fontId="1" fillId="0" borderId="31" xfId="0" applyNumberFormat="1" applyFont="1" applyFill="1" applyBorder="1" applyAlignment="1" applyProtection="1">
      <alignment horizontal="left" vertical="center" wrapText="1"/>
      <protection/>
    </xf>
    <xf numFmtId="164" fontId="1" fillId="0" borderId="33" xfId="0" applyNumberFormat="1" applyFont="1" applyFill="1" applyBorder="1" applyAlignment="1" applyProtection="1">
      <alignment vertical="center"/>
      <protection/>
    </xf>
    <xf numFmtId="164" fontId="1" fillId="0" borderId="33" xfId="0" applyNumberFormat="1" applyFont="1" applyFill="1" applyBorder="1" applyAlignment="1" applyProtection="1">
      <alignment horizontal="left" vertical="center" wrapText="1"/>
      <protection/>
    </xf>
    <xf numFmtId="164" fontId="1" fillId="0" borderId="34" xfId="0" applyNumberFormat="1" applyFont="1" applyFill="1" applyBorder="1" applyAlignment="1" applyProtection="1">
      <alignment horizontal="left" vertical="center" wrapText="1"/>
      <protection/>
    </xf>
    <xf numFmtId="164" fontId="1" fillId="0" borderId="35" xfId="0" applyNumberFormat="1" applyFont="1" applyFill="1" applyBorder="1" applyAlignment="1" applyProtection="1">
      <alignment horizontal="left" vertical="center" wrapText="1"/>
      <protection/>
    </xf>
    <xf numFmtId="164" fontId="1" fillId="0" borderId="36" xfId="0" applyNumberFormat="1" applyFont="1" applyFill="1" applyBorder="1" applyAlignment="1" applyProtection="1">
      <alignment horizontal="left" vertical="center" wrapText="1"/>
      <protection/>
    </xf>
    <xf numFmtId="165" fontId="3" fillId="0" borderId="29" xfId="0" applyNumberFormat="1" applyFont="1" applyFill="1" applyBorder="1" applyAlignment="1" applyProtection="1">
      <alignment horizontal="right" vertical="center"/>
      <protection/>
    </xf>
    <xf numFmtId="165" fontId="3" fillId="0" borderId="32" xfId="0" applyNumberFormat="1" applyFont="1" applyFill="1" applyBorder="1" applyAlignment="1" applyProtection="1">
      <alignment horizontal="left" vertical="center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5" fontId="1" fillId="0" borderId="37" xfId="0" applyNumberFormat="1" applyFont="1" applyFill="1" applyBorder="1" applyAlignment="1" applyProtection="1">
      <alignment horizontal="left" vertical="center"/>
      <protection/>
    </xf>
    <xf numFmtId="166" fontId="1" fillId="0" borderId="19" xfId="0" applyNumberFormat="1" applyFont="1" applyFill="1" applyBorder="1" applyAlignment="1" applyProtection="1">
      <alignment horizontal="right" vertical="center"/>
      <protection/>
    </xf>
    <xf numFmtId="166" fontId="1" fillId="0" borderId="38" xfId="0" applyNumberFormat="1" applyFont="1" applyFill="1" applyBorder="1" applyAlignment="1" applyProtection="1">
      <alignment horizontal="right" vertical="center"/>
      <protection/>
    </xf>
    <xf numFmtId="165" fontId="9" fillId="0" borderId="0" xfId="0" applyNumberFormat="1" applyFont="1" applyFill="1" applyBorder="1" applyAlignment="1" applyProtection="1">
      <alignment horizontal="left" vertical="center"/>
      <protection/>
    </xf>
    <xf numFmtId="166" fontId="9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34" xfId="0" applyNumberFormat="1" applyFont="1" applyFill="1" applyBorder="1" applyAlignment="1" applyProtection="1">
      <alignment vertical="center"/>
      <protection/>
    </xf>
    <xf numFmtId="165" fontId="1" fillId="0" borderId="33" xfId="0" applyNumberFormat="1" applyFont="1" applyFill="1" applyBorder="1" applyAlignment="1" applyProtection="1">
      <alignment horizontal="left" vertical="center"/>
      <protection/>
    </xf>
    <xf numFmtId="166" fontId="1" fillId="0" borderId="34" xfId="0" applyNumberFormat="1" applyFont="1" applyFill="1" applyBorder="1" applyAlignment="1" applyProtection="1">
      <alignment horizontal="right" vertical="center"/>
      <protection/>
    </xf>
    <xf numFmtId="165" fontId="1" fillId="0" borderId="34" xfId="0" applyNumberFormat="1" applyFont="1" applyFill="1" applyBorder="1" applyAlignment="1" applyProtection="1">
      <alignment horizontal="right" vertical="center"/>
      <protection/>
    </xf>
    <xf numFmtId="164" fontId="1" fillId="0" borderId="39" xfId="0" applyNumberFormat="1" applyFont="1" applyFill="1" applyBorder="1" applyAlignment="1" applyProtection="1">
      <alignment vertical="center"/>
      <protection/>
    </xf>
    <xf numFmtId="164" fontId="1" fillId="0" borderId="22" xfId="0" applyNumberFormat="1" applyFont="1" applyFill="1" applyBorder="1" applyAlignment="1" applyProtection="1">
      <alignment vertical="center"/>
      <protection/>
    </xf>
    <xf numFmtId="165" fontId="9" fillId="0" borderId="22" xfId="0" applyNumberFormat="1" applyFont="1" applyFill="1" applyBorder="1" applyAlignment="1" applyProtection="1">
      <alignment horizontal="left" vertical="center"/>
      <protection/>
    </xf>
    <xf numFmtId="166" fontId="9" fillId="0" borderId="22" xfId="0" applyNumberFormat="1" applyFont="1" applyFill="1" applyBorder="1" applyAlignment="1" applyProtection="1">
      <alignment horizontal="right" vertical="center"/>
      <protection/>
    </xf>
    <xf numFmtId="164" fontId="1" fillId="0" borderId="40" xfId="0" applyNumberFormat="1" applyFont="1" applyFill="1" applyBorder="1" applyAlignment="1" applyProtection="1">
      <alignment vertical="center"/>
      <protection/>
    </xf>
    <xf numFmtId="165" fontId="8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41" xfId="0" applyNumberFormat="1" applyFont="1" applyFill="1" applyBorder="1" applyAlignment="1" applyProtection="1">
      <alignment/>
      <protection/>
    </xf>
    <xf numFmtId="164" fontId="1" fillId="0" borderId="42" xfId="0" applyNumberFormat="1" applyFont="1" applyFill="1" applyBorder="1" applyAlignment="1" applyProtection="1">
      <alignment vertical="center"/>
      <protection/>
    </xf>
    <xf numFmtId="164" fontId="2" fillId="0" borderId="43" xfId="0" applyNumberFormat="1" applyFont="1" applyFill="1" applyBorder="1" applyAlignment="1" applyProtection="1">
      <alignment horizontal="center" vertical="center" wrapText="1"/>
      <protection/>
    </xf>
    <xf numFmtId="165" fontId="1" fillId="0" borderId="4" xfId="0" applyNumberFormat="1" applyFont="1" applyFill="1" applyBorder="1" applyAlignment="1" applyProtection="1">
      <alignment horizontal="left" vertical="center"/>
      <protection/>
    </xf>
    <xf numFmtId="165" fontId="1" fillId="0" borderId="6" xfId="0" applyNumberFormat="1" applyFont="1" applyFill="1" applyBorder="1" applyAlignment="1" applyProtection="1">
      <alignment horizontal="left" vertical="center"/>
      <protection/>
    </xf>
    <xf numFmtId="164" fontId="1" fillId="0" borderId="21" xfId="0" applyNumberFormat="1" applyFont="1" applyFill="1" applyBorder="1" applyAlignment="1" applyProtection="1">
      <alignment horizontal="left" vertical="center" wrapText="1"/>
      <protection/>
    </xf>
    <xf numFmtId="164" fontId="1" fillId="0" borderId="22" xfId="0" applyNumberFormat="1" applyFont="1" applyFill="1" applyBorder="1" applyAlignment="1" applyProtection="1">
      <alignment horizontal="left" vertical="center" wrapText="1"/>
      <protection/>
    </xf>
    <xf numFmtId="164" fontId="1" fillId="0" borderId="23" xfId="0" applyNumberFormat="1" applyFont="1" applyFill="1" applyBorder="1" applyAlignment="1" applyProtection="1">
      <alignment horizontal="left" vertical="center" wrapText="1"/>
      <protection/>
    </xf>
    <xf numFmtId="165" fontId="10" fillId="0" borderId="44" xfId="0" applyNumberFormat="1" applyFont="1" applyFill="1" applyBorder="1" applyAlignment="1" applyProtection="1">
      <alignment horizontal="center" vertical="center"/>
      <protection/>
    </xf>
    <xf numFmtId="165" fontId="11" fillId="3" borderId="45" xfId="0" applyNumberFormat="1" applyFont="1" applyFill="1" applyBorder="1" applyAlignment="1" applyProtection="1">
      <alignment horizontal="center" vertical="center"/>
      <protection/>
    </xf>
    <xf numFmtId="165" fontId="12" fillId="0" borderId="46" xfId="0" applyNumberFormat="1" applyFont="1" applyFill="1" applyBorder="1" applyAlignment="1" applyProtection="1">
      <alignment horizontal="left" vertical="center"/>
      <protection/>
    </xf>
    <xf numFmtId="165" fontId="11" fillId="3" borderId="46" xfId="0" applyNumberFormat="1" applyFont="1" applyFill="1" applyBorder="1" applyAlignment="1" applyProtection="1">
      <alignment horizontal="center" vertical="center"/>
      <protection/>
    </xf>
    <xf numFmtId="165" fontId="12" fillId="0" borderId="47" xfId="0" applyNumberFormat="1" applyFont="1" applyFill="1" applyBorder="1" applyAlignment="1" applyProtection="1">
      <alignment horizontal="left" vertical="center"/>
      <protection/>
    </xf>
    <xf numFmtId="165" fontId="5" fillId="0" borderId="48" xfId="0" applyNumberFormat="1" applyFont="1" applyFill="1" applyBorder="1" applyAlignment="1" applyProtection="1">
      <alignment horizontal="left" vertical="center"/>
      <protection/>
    </xf>
    <xf numFmtId="165" fontId="4" fillId="0" borderId="46" xfId="0" applyNumberFormat="1" applyFont="1" applyFill="1" applyBorder="1" applyAlignment="1" applyProtection="1">
      <alignment horizontal="left" vertical="center"/>
      <protection/>
    </xf>
    <xf numFmtId="166" fontId="4" fillId="0" borderId="46" xfId="0" applyNumberFormat="1" applyFont="1" applyFill="1" applyBorder="1" applyAlignment="1" applyProtection="1">
      <alignment horizontal="right" vertical="center"/>
      <protection/>
    </xf>
    <xf numFmtId="166" fontId="4" fillId="0" borderId="47" xfId="0" applyNumberFormat="1" applyFont="1" applyFill="1" applyBorder="1" applyAlignment="1" applyProtection="1">
      <alignment horizontal="right" vertical="center"/>
      <protection/>
    </xf>
    <xf numFmtId="165" fontId="5" fillId="0" borderId="49" xfId="0" applyNumberFormat="1" applyFont="1" applyFill="1" applyBorder="1" applyAlignment="1" applyProtection="1">
      <alignment horizontal="left" vertical="center"/>
      <protection/>
    </xf>
    <xf numFmtId="165" fontId="4" fillId="0" borderId="46" xfId="0" applyNumberFormat="1" applyFont="1" applyFill="1" applyBorder="1" applyAlignment="1" applyProtection="1">
      <alignment horizontal="right" vertical="center"/>
      <protection/>
    </xf>
    <xf numFmtId="165" fontId="5" fillId="0" borderId="45" xfId="0" applyNumberFormat="1" applyFont="1" applyFill="1" applyBorder="1" applyAlignment="1" applyProtection="1">
      <alignment horizontal="left" vertical="center"/>
      <protection/>
    </xf>
    <xf numFmtId="165" fontId="4" fillId="0" borderId="47" xfId="0" applyNumberFormat="1" applyFont="1" applyFill="1" applyBorder="1" applyAlignment="1" applyProtection="1">
      <alignment horizontal="right" vertical="center"/>
      <protection/>
    </xf>
    <xf numFmtId="165" fontId="5" fillId="0" borderId="46" xfId="0" applyNumberFormat="1" applyFont="1" applyFill="1" applyBorder="1" applyAlignment="1" applyProtection="1">
      <alignment horizontal="left" vertical="center"/>
      <protection/>
    </xf>
    <xf numFmtId="164" fontId="1" fillId="0" borderId="2" xfId="0" applyNumberFormat="1" applyFont="1" applyFill="1" applyBorder="1" applyAlignment="1" applyProtection="1">
      <alignment vertical="center"/>
      <protection/>
    </xf>
    <xf numFmtId="166" fontId="4" fillId="0" borderId="50" xfId="0" applyNumberFormat="1" applyFont="1" applyFill="1" applyBorder="1" applyAlignment="1" applyProtection="1">
      <alignment horizontal="right" vertical="center"/>
      <protection/>
    </xf>
    <xf numFmtId="164" fontId="1" fillId="0" borderId="5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38" xfId="0" applyNumberFormat="1" applyFont="1" applyFill="1" applyBorder="1" applyAlignment="1" applyProtection="1">
      <alignment vertical="center"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4" fontId="1" fillId="0" borderId="4" xfId="0" applyNumberFormat="1" applyFont="1" applyFill="1" applyBorder="1" applyAlignment="1" applyProtection="1">
      <alignment vertical="center"/>
      <protection/>
    </xf>
    <xf numFmtId="165" fontId="5" fillId="3" borderId="51" xfId="0" applyNumberFormat="1" applyFont="1" applyFill="1" applyBorder="1" applyAlignment="1" applyProtection="1">
      <alignment horizontal="left" vertical="center"/>
      <protection/>
    </xf>
    <xf numFmtId="166" fontId="5" fillId="3" borderId="52" xfId="0" applyNumberFormat="1" applyFont="1" applyFill="1" applyBorder="1" applyAlignment="1" applyProtection="1">
      <alignment horizontal="right"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  <xf numFmtId="165" fontId="5" fillId="3" borderId="53" xfId="0" applyNumberFormat="1" applyFont="1" applyFill="1" applyBorder="1" applyAlignment="1" applyProtection="1">
      <alignment horizontal="left" vertical="center"/>
      <protection/>
    </xf>
    <xf numFmtId="166" fontId="5" fillId="3" borderId="54" xfId="0" applyNumberFormat="1" applyFont="1" applyFill="1" applyBorder="1" applyAlignment="1" applyProtection="1">
      <alignment horizontal="right" vertical="center"/>
      <protection/>
    </xf>
    <xf numFmtId="164" fontId="1" fillId="0" borderId="24" xfId="0" applyNumberFormat="1" applyFont="1" applyFill="1" applyBorder="1" applyAlignment="1" applyProtection="1">
      <alignment vertical="center"/>
      <protection/>
    </xf>
    <xf numFmtId="164" fontId="1" fillId="0" borderId="25" xfId="0" applyNumberFormat="1" applyFont="1" applyFill="1" applyBorder="1" applyAlignment="1" applyProtection="1">
      <alignment vertical="center"/>
      <protection/>
    </xf>
    <xf numFmtId="164" fontId="1" fillId="0" borderId="26" xfId="0" applyNumberFormat="1" applyFont="1" applyFill="1" applyBorder="1" applyAlignment="1" applyProtection="1">
      <alignment vertical="center"/>
      <protection/>
    </xf>
    <xf numFmtId="165" fontId="4" fillId="0" borderId="13" xfId="0" applyNumberFormat="1" applyFont="1" applyFill="1" applyBorder="1" applyAlignment="1" applyProtection="1">
      <alignment horizontal="left" vertical="center"/>
      <protection/>
    </xf>
    <xf numFmtId="165" fontId="4" fillId="0" borderId="55" xfId="0" applyNumberFormat="1" applyFont="1" applyFill="1" applyBorder="1" applyAlignment="1" applyProtection="1">
      <alignment horizontal="left" vertical="center"/>
      <protection/>
    </xf>
    <xf numFmtId="165" fontId="4" fillId="0" borderId="17" xfId="0" applyNumberFormat="1" applyFont="1" applyFill="1" applyBorder="1" applyAlignment="1" applyProtection="1">
      <alignment horizontal="left" vertical="center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20" xfId="0" applyNumberFormat="1" applyFont="1" applyFill="1" applyBorder="1" applyAlignment="1" applyProtection="1">
      <alignment vertical="center"/>
      <protection/>
    </xf>
    <xf numFmtId="165" fontId="5" fillId="0" borderId="7" xfId="0" applyNumberFormat="1" applyFont="1" applyFill="1" applyBorder="1" applyAlignment="1" applyProtection="1">
      <alignment horizontal="left" vertical="center"/>
      <protection/>
    </xf>
    <xf numFmtId="164" fontId="1" fillId="0" borderId="8" xfId="0" applyNumberFormat="1" applyFont="1" applyFill="1" applyBorder="1" applyAlignment="1" applyProtection="1">
      <alignment vertical="center"/>
      <protection/>
    </xf>
    <xf numFmtId="164" fontId="1" fillId="0" borderId="9" xfId="0" applyNumberFormat="1" applyFont="1" applyFill="1" applyBorder="1" applyAlignment="1" applyProtection="1">
      <alignment vertical="center"/>
      <protection/>
    </xf>
    <xf numFmtId="165" fontId="3" fillId="0" borderId="1" xfId="0" applyNumberFormat="1" applyFont="1" applyFill="1" applyBorder="1" applyAlignment="1" applyProtection="1">
      <alignment horizontal="left" vertical="center"/>
      <protection/>
    </xf>
    <xf numFmtId="165" fontId="3" fillId="0" borderId="1" xfId="0" applyNumberFormat="1" applyFont="1" applyFill="1" applyBorder="1" applyAlignment="1" applyProtection="1">
      <alignment horizontal="right" vertical="center"/>
      <protection/>
    </xf>
    <xf numFmtId="165" fontId="1" fillId="0" borderId="45" xfId="0" applyNumberFormat="1" applyFont="1" applyFill="1" applyBorder="1" applyAlignment="1" applyProtection="1">
      <alignment horizontal="left" vertical="center"/>
      <protection/>
    </xf>
    <xf numFmtId="166" fontId="1" fillId="0" borderId="46" xfId="0" applyNumberFormat="1" applyFont="1" applyFill="1" applyBorder="1" applyAlignment="1" applyProtection="1">
      <alignment horizontal="right" vertical="center"/>
      <protection/>
    </xf>
    <xf numFmtId="165" fontId="1" fillId="0" borderId="46" xfId="0" applyNumberFormat="1" applyFont="1" applyFill="1" applyBorder="1" applyAlignment="1" applyProtection="1">
      <alignment horizontal="left" vertical="center"/>
      <protection/>
    </xf>
    <xf numFmtId="166" fontId="1" fillId="0" borderId="47" xfId="0" applyNumberFormat="1" applyFont="1" applyFill="1" applyBorder="1" applyAlignment="1" applyProtection="1">
      <alignment horizontal="right" vertical="center"/>
      <protection/>
    </xf>
    <xf numFmtId="165" fontId="1" fillId="0" borderId="56" xfId="0" applyNumberFormat="1" applyFont="1" applyFill="1" applyBorder="1" applyAlignment="1" applyProtection="1">
      <alignment horizontal="left" vertical="center"/>
      <protection/>
    </xf>
    <xf numFmtId="166" fontId="1" fillId="0" borderId="50" xfId="0" applyNumberFormat="1" applyFont="1" applyFill="1" applyBorder="1" applyAlignment="1" applyProtection="1">
      <alignment horizontal="right" vertical="center"/>
      <protection/>
    </xf>
    <xf numFmtId="165" fontId="1" fillId="0" borderId="50" xfId="0" applyNumberFormat="1" applyFont="1" applyFill="1" applyBorder="1" applyAlignment="1" applyProtection="1">
      <alignment horizontal="left" vertical="center"/>
      <protection/>
    </xf>
    <xf numFmtId="166" fontId="1" fillId="0" borderId="57" xfId="0" applyNumberFormat="1" applyFont="1" applyFill="1" applyBorder="1" applyAlignment="1" applyProtection="1">
      <alignment horizontal="right" vertical="center"/>
      <protection/>
    </xf>
    <xf numFmtId="165" fontId="3" fillId="0" borderId="27" xfId="0" applyNumberFormat="1" applyFont="1" applyFill="1" applyBorder="1" applyAlignment="1" applyProtection="1">
      <alignment horizontal="right" vertical="center"/>
      <protection/>
    </xf>
    <xf numFmtId="166" fontId="3" fillId="0" borderId="27" xfId="0" applyNumberFormat="1" applyFont="1" applyFill="1" applyBorder="1" applyAlignment="1" applyProtection="1">
      <alignment horizontal="right" vertical="center"/>
      <protection/>
    </xf>
    <xf numFmtId="164" fontId="1" fillId="0" borderId="58" xfId="0" applyNumberFormat="1" applyFont="1" applyFill="1" applyBorder="1" applyAlignment="1" applyProtection="1">
      <alignment vertical="center"/>
      <protection/>
    </xf>
    <xf numFmtId="164" fontId="1" fillId="0" borderId="59" xfId="0" applyNumberFormat="1" applyFont="1" applyFill="1" applyBorder="1" applyAlignment="1" applyProtection="1">
      <alignment vertical="center"/>
      <protection/>
    </xf>
    <xf numFmtId="164" fontId="1" fillId="0" borderId="60" xfId="0" applyNumberFormat="1" applyFont="1" applyFill="1" applyBorder="1" applyAlignment="1" applyProtection="1">
      <alignment vertical="center"/>
      <protection/>
    </xf>
    <xf numFmtId="166" fontId="1" fillId="2" borderId="46" xfId="0" applyNumberFormat="1" applyFont="1" applyFill="1" applyBorder="1" applyAlignment="1" applyProtection="1">
      <alignment horizontal="right" vertical="center"/>
      <protection locked="0"/>
    </xf>
    <xf numFmtId="166" fontId="1" fillId="4" borderId="46" xfId="0" applyNumberFormat="1" applyFont="1" applyFill="1" applyBorder="1" applyAlignment="1" applyProtection="1">
      <alignment horizontal="right" vertical="center"/>
      <protection/>
    </xf>
    <xf numFmtId="166" fontId="1" fillId="2" borderId="50" xfId="0" applyNumberFormat="1" applyFont="1" applyFill="1" applyBorder="1" applyAlignment="1" applyProtection="1">
      <alignment horizontal="right" vertical="center"/>
      <protection locked="0"/>
    </xf>
    <xf numFmtId="165" fontId="5" fillId="0" borderId="27" xfId="0" applyNumberFormat="1" applyFont="1" applyFill="1" applyBorder="1" applyAlignment="1" applyProtection="1">
      <alignment horizontal="left" vertical="center"/>
      <protection/>
    </xf>
    <xf numFmtId="166" fontId="5" fillId="0" borderId="27" xfId="0" applyNumberFormat="1" applyFont="1" applyFill="1" applyBorder="1" applyAlignment="1" applyProtection="1">
      <alignment horizontal="right" vertical="center"/>
      <protection/>
    </xf>
    <xf numFmtId="164" fontId="1" fillId="0" borderId="18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9"/>
  <sheetViews>
    <sheetView workbookViewId="0" topLeftCell="A1">
      <pane ySplit="11" topLeftCell="A12" activePane="bottomLeft" state="frozen"/>
      <selection pane="topLeft" activeCell="A1" sqref="A1"/>
      <selection pane="bottomLeft" activeCell="K24" sqref="K24"/>
    </sheetView>
  </sheetViews>
  <sheetFormatPr defaultColWidth="12.57421875" defaultRowHeight="12.75"/>
  <cols>
    <col min="1" max="1" width="3.7109375" style="1" customWidth="1"/>
    <col min="2" max="2" width="14.28125" style="1" customWidth="1"/>
    <col min="3" max="3" width="1.421875" style="1" customWidth="1"/>
    <col min="4" max="4" width="61.8515625" style="1" customWidth="1"/>
    <col min="5" max="5" width="15.00390625" style="1" customWidth="1"/>
    <col min="6" max="6" width="0" style="1" hidden="1" customWidth="1"/>
    <col min="7" max="7" width="11.28125" style="1" customWidth="1"/>
    <col min="8" max="8" width="14.57421875" style="1" customWidth="1"/>
    <col min="9" max="9" width="6.421875" style="1" customWidth="1"/>
    <col min="10" max="10" width="12.8515625" style="1" customWidth="1"/>
    <col min="11" max="11" width="12.00390625" style="1" customWidth="1"/>
    <col min="12" max="12" width="14.28125" style="1" customWidth="1"/>
    <col min="13" max="13" width="11.7109375" style="1" customWidth="1"/>
    <col min="14" max="24" width="11.57421875" style="1" customWidth="1"/>
    <col min="25" max="64" width="0" style="1" hidden="1" customWidth="1"/>
    <col min="65" max="16384" width="11.57421875" style="1" customWidth="1"/>
  </cols>
  <sheetData>
    <row r="1" spans="1:13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customHeight="1">
      <c r="A2" s="3" t="s">
        <v>1</v>
      </c>
      <c r="B2" s="3"/>
      <c r="C2" s="4" t="s">
        <v>2</v>
      </c>
      <c r="D2" s="4"/>
      <c r="E2" s="5" t="s">
        <v>3</v>
      </c>
      <c r="F2" s="5"/>
      <c r="G2" s="5" t="s">
        <v>4</v>
      </c>
      <c r="H2" s="6" t="s">
        <v>5</v>
      </c>
      <c r="I2" s="7" t="s">
        <v>6</v>
      </c>
      <c r="J2" s="7"/>
      <c r="K2" s="7"/>
      <c r="L2" s="7"/>
      <c r="M2" s="7"/>
      <c r="N2" s="8"/>
    </row>
    <row r="3" spans="1:14" ht="12.75">
      <c r="A3" s="3"/>
      <c r="B3" s="3"/>
      <c r="C3" s="4"/>
      <c r="D3" s="4"/>
      <c r="E3" s="5"/>
      <c r="F3" s="5"/>
      <c r="G3" s="5"/>
      <c r="H3" s="5"/>
      <c r="I3" s="5"/>
      <c r="J3" s="7"/>
      <c r="K3" s="7"/>
      <c r="L3" s="7"/>
      <c r="M3" s="7"/>
      <c r="N3" s="8"/>
    </row>
    <row r="4" spans="1:14" ht="12.75" customHeight="1">
      <c r="A4" s="9" t="s">
        <v>7</v>
      </c>
      <c r="B4" s="9"/>
      <c r="C4" s="10" t="s">
        <v>8</v>
      </c>
      <c r="D4" s="10"/>
      <c r="E4" s="11" t="s">
        <v>9</v>
      </c>
      <c r="F4" s="11"/>
      <c r="G4" s="11" t="s">
        <v>4</v>
      </c>
      <c r="H4" s="10" t="s">
        <v>10</v>
      </c>
      <c r="I4" s="12" t="s">
        <v>11</v>
      </c>
      <c r="J4" s="12"/>
      <c r="K4" s="12"/>
      <c r="L4" s="12"/>
      <c r="M4" s="12"/>
      <c r="N4" s="8"/>
    </row>
    <row r="5" spans="1:14" ht="12.75">
      <c r="A5" s="9"/>
      <c r="B5" s="9"/>
      <c r="C5" s="10"/>
      <c r="D5" s="10"/>
      <c r="E5" s="11"/>
      <c r="F5" s="11"/>
      <c r="G5" s="11"/>
      <c r="H5" s="11"/>
      <c r="I5" s="11"/>
      <c r="J5" s="12"/>
      <c r="K5" s="12"/>
      <c r="L5" s="12"/>
      <c r="M5" s="12"/>
      <c r="N5" s="8"/>
    </row>
    <row r="6" spans="1:14" ht="25.5" customHeight="1">
      <c r="A6" s="9" t="s">
        <v>12</v>
      </c>
      <c r="B6" s="9"/>
      <c r="C6" s="10" t="s">
        <v>13</v>
      </c>
      <c r="D6" s="10"/>
      <c r="E6" s="11" t="s">
        <v>14</v>
      </c>
      <c r="F6" s="11"/>
      <c r="G6" s="11" t="s">
        <v>4</v>
      </c>
      <c r="H6" s="10" t="s">
        <v>15</v>
      </c>
      <c r="I6" s="13" t="s">
        <v>16</v>
      </c>
      <c r="J6" s="13"/>
      <c r="K6" s="13"/>
      <c r="L6" s="13"/>
      <c r="M6" s="13"/>
      <c r="N6" s="8"/>
    </row>
    <row r="7" spans="1:14" ht="3.75" customHeight="1">
      <c r="A7" s="9"/>
      <c r="B7" s="9"/>
      <c r="C7" s="10"/>
      <c r="D7" s="10"/>
      <c r="E7" s="11"/>
      <c r="F7" s="11"/>
      <c r="G7" s="11"/>
      <c r="H7" s="11"/>
      <c r="I7" s="13"/>
      <c r="J7" s="13"/>
      <c r="K7" s="13"/>
      <c r="L7" s="13"/>
      <c r="M7" s="13"/>
      <c r="N7" s="8"/>
    </row>
    <row r="8" spans="1:14" ht="10.5" customHeight="1">
      <c r="A8" s="14" t="s">
        <v>17</v>
      </c>
      <c r="B8" s="14"/>
      <c r="C8" s="15" t="s">
        <v>18</v>
      </c>
      <c r="D8" s="15"/>
      <c r="E8" s="16" t="s">
        <v>19</v>
      </c>
      <c r="F8" s="16"/>
      <c r="G8" s="17" t="s">
        <v>16</v>
      </c>
      <c r="H8" s="15" t="s">
        <v>20</v>
      </c>
      <c r="I8" s="18">
        <v>0</v>
      </c>
      <c r="J8" s="18"/>
      <c r="K8" s="18"/>
      <c r="L8" s="18"/>
      <c r="M8" s="18"/>
      <c r="N8" s="8"/>
    </row>
    <row r="9" spans="1:14" ht="17.25" customHeight="1">
      <c r="A9" s="14"/>
      <c r="B9" s="14"/>
      <c r="C9" s="15"/>
      <c r="D9" s="15"/>
      <c r="E9" s="16"/>
      <c r="F9" s="16"/>
      <c r="G9" s="17"/>
      <c r="H9" s="15"/>
      <c r="I9" s="18"/>
      <c r="J9" s="18"/>
      <c r="K9" s="18"/>
      <c r="L9" s="18"/>
      <c r="M9" s="18"/>
      <c r="N9" s="8"/>
    </row>
    <row r="10" spans="1:64" ht="12.75">
      <c r="A10" s="19" t="s">
        <v>21</v>
      </c>
      <c r="B10" s="20" t="s">
        <v>22</v>
      </c>
      <c r="C10" s="20" t="s">
        <v>23</v>
      </c>
      <c r="D10" s="20"/>
      <c r="E10" s="20"/>
      <c r="F10" s="20"/>
      <c r="G10" s="20"/>
      <c r="H10" s="20"/>
      <c r="I10" s="20" t="s">
        <v>24</v>
      </c>
      <c r="J10" s="21" t="s">
        <v>25</v>
      </c>
      <c r="K10" s="22" t="s">
        <v>26</v>
      </c>
      <c r="L10" s="23" t="s">
        <v>27</v>
      </c>
      <c r="M10" s="23" t="s">
        <v>28</v>
      </c>
      <c r="N10" s="8"/>
      <c r="BK10" s="24" t="s">
        <v>29</v>
      </c>
      <c r="BL10" s="25" t="s">
        <v>30</v>
      </c>
    </row>
    <row r="11" spans="1:62" ht="12.75">
      <c r="A11" s="26" t="s">
        <v>4</v>
      </c>
      <c r="B11" s="27" t="s">
        <v>4</v>
      </c>
      <c r="C11" s="28" t="s">
        <v>31</v>
      </c>
      <c r="D11" s="28"/>
      <c r="E11" s="28"/>
      <c r="F11" s="28"/>
      <c r="G11" s="28"/>
      <c r="H11" s="28"/>
      <c r="I11" s="27" t="s">
        <v>4</v>
      </c>
      <c r="J11" s="27" t="s">
        <v>4</v>
      </c>
      <c r="K11" s="29" t="s">
        <v>32</v>
      </c>
      <c r="L11" s="30" t="s">
        <v>33</v>
      </c>
      <c r="M11" s="31" t="s">
        <v>34</v>
      </c>
      <c r="N11" s="8"/>
      <c r="Z11" s="24" t="s">
        <v>35</v>
      </c>
      <c r="AA11" s="24" t="s">
        <v>36</v>
      </c>
      <c r="AB11" s="24" t="s">
        <v>37</v>
      </c>
      <c r="AC11" s="24" t="s">
        <v>38</v>
      </c>
      <c r="AD11" s="24" t="s">
        <v>39</v>
      </c>
      <c r="AE11" s="24" t="s">
        <v>40</v>
      </c>
      <c r="AF11" s="24" t="s">
        <v>41</v>
      </c>
      <c r="AG11" s="24" t="s">
        <v>42</v>
      </c>
      <c r="AH11" s="24" t="s">
        <v>43</v>
      </c>
      <c r="BH11" s="24" t="s">
        <v>44</v>
      </c>
      <c r="BI11" s="24" t="s">
        <v>45</v>
      </c>
      <c r="BJ11" s="24" t="s">
        <v>46</v>
      </c>
    </row>
    <row r="12" spans="1:47" ht="19.5" customHeight="1">
      <c r="A12" s="32"/>
      <c r="B12" s="33" t="s">
        <v>47</v>
      </c>
      <c r="C12" s="33" t="s">
        <v>48</v>
      </c>
      <c r="D12" s="33"/>
      <c r="E12" s="33"/>
      <c r="F12" s="33"/>
      <c r="G12" s="33"/>
      <c r="H12" s="33"/>
      <c r="I12" s="34" t="s">
        <v>4</v>
      </c>
      <c r="J12" s="34" t="s">
        <v>4</v>
      </c>
      <c r="K12" s="34" t="s">
        <v>4</v>
      </c>
      <c r="L12" s="35">
        <f>SUM(L13:L13)</f>
        <v>0</v>
      </c>
      <c r="M12" s="36"/>
      <c r="N12" s="8"/>
      <c r="AI12" s="24"/>
      <c r="AS12" s="37">
        <f>SUM(AJ13:AJ13)</f>
        <v>0</v>
      </c>
      <c r="AT12" s="37">
        <f>SUM(AK13:AK13)</f>
        <v>0</v>
      </c>
      <c r="AU12" s="37">
        <f>SUM(AL13:AL13)</f>
        <v>0</v>
      </c>
    </row>
    <row r="13" spans="1:64" ht="19.5" customHeight="1">
      <c r="A13" s="38" t="s">
        <v>49</v>
      </c>
      <c r="B13" s="39" t="s">
        <v>50</v>
      </c>
      <c r="C13" s="39" t="s">
        <v>51</v>
      </c>
      <c r="D13" s="39"/>
      <c r="E13" s="39"/>
      <c r="F13" s="39"/>
      <c r="G13" s="39"/>
      <c r="H13" s="39"/>
      <c r="I13" s="39" t="s">
        <v>52</v>
      </c>
      <c r="J13" s="40">
        <v>10.24</v>
      </c>
      <c r="K13" s="41">
        <v>0</v>
      </c>
      <c r="L13" s="42">
        <f>J13*K13</f>
        <v>0</v>
      </c>
      <c r="M13" s="43" t="s">
        <v>53</v>
      </c>
      <c r="N13" s="8"/>
      <c r="Z13" s="44">
        <f>IF(AQ13="5",BJ13,0)</f>
        <v>0</v>
      </c>
      <c r="AB13" s="44">
        <f>IF(AQ13="1",BH13,0)</f>
        <v>0</v>
      </c>
      <c r="AC13" s="44">
        <f>IF(AQ13="1",BI13,0)</f>
        <v>0</v>
      </c>
      <c r="AD13" s="44">
        <f>IF(AQ13="7",BH13,0)</f>
        <v>0</v>
      </c>
      <c r="AE13" s="44">
        <f>IF(AQ13="7",BI13,0)</f>
        <v>0</v>
      </c>
      <c r="AF13" s="44">
        <f>IF(AQ13="2",BH13,0)</f>
        <v>0</v>
      </c>
      <c r="AG13" s="44">
        <f>IF(AQ13="2",BI13,0)</f>
        <v>0</v>
      </c>
      <c r="AH13" s="44">
        <f>IF(AQ13="0",BJ13,0)</f>
        <v>0</v>
      </c>
      <c r="AI13" s="24"/>
      <c r="AJ13" s="44">
        <f>IF(AN13=0,L13,0)</f>
        <v>0</v>
      </c>
      <c r="AK13" s="44">
        <f>IF(AN13=15,L13,0)</f>
        <v>0</v>
      </c>
      <c r="AL13" s="44">
        <f>IF(AN13=21,L13,0)</f>
        <v>0</v>
      </c>
      <c r="AN13" s="44">
        <v>21</v>
      </c>
      <c r="AO13" s="44">
        <f>K13*0</f>
        <v>0</v>
      </c>
      <c r="AP13" s="44">
        <f>K13*(1-0)</f>
        <v>0</v>
      </c>
      <c r="AQ13" s="45" t="s">
        <v>49</v>
      </c>
      <c r="AV13" s="44">
        <f>AW13+AX13</f>
        <v>0</v>
      </c>
      <c r="AW13" s="44">
        <f>J13*AO13</f>
        <v>0</v>
      </c>
      <c r="AX13" s="44">
        <f>J13*AP13</f>
        <v>0</v>
      </c>
      <c r="AY13" s="45" t="s">
        <v>54</v>
      </c>
      <c r="AZ13" s="45" t="s">
        <v>55</v>
      </c>
      <c r="BA13" s="24" t="s">
        <v>56</v>
      </c>
      <c r="BC13" s="44">
        <f>AW13+AX13</f>
        <v>0</v>
      </c>
      <c r="BD13" s="44">
        <f>K13/(100-BE13)*100</f>
        <v>0</v>
      </c>
      <c r="BE13" s="44">
        <v>0</v>
      </c>
      <c r="BF13" s="44">
        <f>13</f>
        <v>13</v>
      </c>
      <c r="BH13" s="44">
        <f>J13*AO13</f>
        <v>0</v>
      </c>
      <c r="BI13" s="44">
        <f>J13*AP13</f>
        <v>0</v>
      </c>
      <c r="BJ13" s="44">
        <f>J13*K13</f>
        <v>0</v>
      </c>
      <c r="BK13" s="44" t="s">
        <v>57</v>
      </c>
      <c r="BL13" s="44">
        <v>12</v>
      </c>
    </row>
    <row r="14" spans="1:47" ht="19.5" customHeight="1">
      <c r="A14" s="46"/>
      <c r="B14" s="47" t="s">
        <v>58</v>
      </c>
      <c r="C14" s="47" t="s">
        <v>59</v>
      </c>
      <c r="D14" s="47"/>
      <c r="E14" s="47"/>
      <c r="F14" s="47"/>
      <c r="G14" s="47"/>
      <c r="H14" s="47"/>
      <c r="I14" s="48" t="s">
        <v>4</v>
      </c>
      <c r="J14" s="48" t="s">
        <v>4</v>
      </c>
      <c r="K14" s="48" t="s">
        <v>4</v>
      </c>
      <c r="L14" s="49">
        <f>SUM(L15:L18)</f>
        <v>0</v>
      </c>
      <c r="M14" s="50"/>
      <c r="N14" s="8"/>
      <c r="AI14" s="24"/>
      <c r="AS14" s="37">
        <f>SUM(AJ15:AJ18)</f>
        <v>0</v>
      </c>
      <c r="AT14" s="37">
        <f>SUM(AK15:AK18)</f>
        <v>0</v>
      </c>
      <c r="AU14" s="37">
        <f>SUM(AL15:AL18)</f>
        <v>0</v>
      </c>
    </row>
    <row r="15" spans="1:64" ht="19.5" customHeight="1">
      <c r="A15" s="38" t="s">
        <v>60</v>
      </c>
      <c r="B15" s="39" t="s">
        <v>61</v>
      </c>
      <c r="C15" s="39" t="s">
        <v>62</v>
      </c>
      <c r="D15" s="39"/>
      <c r="E15" s="39"/>
      <c r="F15" s="39"/>
      <c r="G15" s="39"/>
      <c r="H15" s="39"/>
      <c r="I15" s="39" t="s">
        <v>52</v>
      </c>
      <c r="J15" s="42">
        <v>46.08</v>
      </c>
      <c r="K15" s="41">
        <v>0</v>
      </c>
      <c r="L15" s="42">
        <f>J15*K15</f>
        <v>0</v>
      </c>
      <c r="M15" s="43" t="s">
        <v>53</v>
      </c>
      <c r="N15" s="8"/>
      <c r="Z15" s="44">
        <f>IF(AQ15="5",BJ15,0)</f>
        <v>0</v>
      </c>
      <c r="AB15" s="44">
        <f>IF(AQ15="1",BH15,0)</f>
        <v>0</v>
      </c>
      <c r="AC15" s="44">
        <f>IF(AQ15="1",BI15,0)</f>
        <v>0</v>
      </c>
      <c r="AD15" s="44">
        <f>IF(AQ15="7",BH15,0)</f>
        <v>0</v>
      </c>
      <c r="AE15" s="44">
        <f>IF(AQ15="7",BI15,0)</f>
        <v>0</v>
      </c>
      <c r="AF15" s="44">
        <f>IF(AQ15="2",BH15,0)</f>
        <v>0</v>
      </c>
      <c r="AG15" s="44">
        <f>IF(AQ15="2",BI15,0)</f>
        <v>0</v>
      </c>
      <c r="AH15" s="44">
        <f>IF(AQ15="0",BJ15,0)</f>
        <v>0</v>
      </c>
      <c r="AI15" s="24"/>
      <c r="AJ15" s="44">
        <f>IF(AN15=0,L15,0)</f>
        <v>0</v>
      </c>
      <c r="AK15" s="44">
        <f>IF(AN15=15,L15,0)</f>
        <v>0</v>
      </c>
      <c r="AL15" s="44">
        <f>IF(AN15=21,L15,0)</f>
        <v>0</v>
      </c>
      <c r="AN15" s="44">
        <v>21</v>
      </c>
      <c r="AO15" s="44">
        <f>K15*0</f>
        <v>0</v>
      </c>
      <c r="AP15" s="44">
        <f>K15*(1-0)</f>
        <v>0</v>
      </c>
      <c r="AQ15" s="45" t="s">
        <v>49</v>
      </c>
      <c r="AV15" s="44">
        <f>AW15+AX15</f>
        <v>0</v>
      </c>
      <c r="AW15" s="44">
        <f>J15*AO15</f>
        <v>0</v>
      </c>
      <c r="AX15" s="44">
        <f>J15*AP15</f>
        <v>0</v>
      </c>
      <c r="AY15" s="45" t="s">
        <v>63</v>
      </c>
      <c r="AZ15" s="45" t="s">
        <v>55</v>
      </c>
      <c r="BA15" s="24" t="s">
        <v>56</v>
      </c>
      <c r="BC15" s="44">
        <f>AW15+AX15</f>
        <v>0</v>
      </c>
      <c r="BD15" s="44">
        <f>K15/(100-BE15)*100</f>
        <v>0</v>
      </c>
      <c r="BE15" s="44">
        <v>0</v>
      </c>
      <c r="BF15" s="44">
        <f>15</f>
        <v>15</v>
      </c>
      <c r="BH15" s="44">
        <f>J15*AO15</f>
        <v>0</v>
      </c>
      <c r="BI15" s="44">
        <f>J15*AP15</f>
        <v>0</v>
      </c>
      <c r="BJ15" s="44">
        <f>J15*K15</f>
        <v>0</v>
      </c>
      <c r="BK15" s="44" t="s">
        <v>57</v>
      </c>
      <c r="BL15" s="44">
        <v>13</v>
      </c>
    </row>
    <row r="16" spans="1:64" ht="19.5" customHeight="1">
      <c r="A16" s="38" t="s">
        <v>64</v>
      </c>
      <c r="B16" s="39" t="s">
        <v>65</v>
      </c>
      <c r="C16" s="39" t="s">
        <v>66</v>
      </c>
      <c r="D16" s="39"/>
      <c r="E16" s="39"/>
      <c r="F16" s="39"/>
      <c r="G16" s="39"/>
      <c r="H16" s="39"/>
      <c r="I16" s="39" t="s">
        <v>52</v>
      </c>
      <c r="J16" s="42">
        <v>46.08</v>
      </c>
      <c r="K16" s="41">
        <v>0</v>
      </c>
      <c r="L16" s="42">
        <f>J16*K16</f>
        <v>0</v>
      </c>
      <c r="M16" s="43" t="s">
        <v>53</v>
      </c>
      <c r="N16" s="8"/>
      <c r="Z16" s="44">
        <f>IF(AQ16="5",BJ16,0)</f>
        <v>0</v>
      </c>
      <c r="AB16" s="44">
        <f>IF(AQ16="1",BH16,0)</f>
        <v>0</v>
      </c>
      <c r="AC16" s="44">
        <f>IF(AQ16="1",BI16,0)</f>
        <v>0</v>
      </c>
      <c r="AD16" s="44">
        <f>IF(AQ16="7",BH16,0)</f>
        <v>0</v>
      </c>
      <c r="AE16" s="44">
        <f>IF(AQ16="7",BI16,0)</f>
        <v>0</v>
      </c>
      <c r="AF16" s="44">
        <f>IF(AQ16="2",BH16,0)</f>
        <v>0</v>
      </c>
      <c r="AG16" s="44">
        <f>IF(AQ16="2",BI16,0)</f>
        <v>0</v>
      </c>
      <c r="AH16" s="44">
        <f>IF(AQ16="0",BJ16,0)</f>
        <v>0</v>
      </c>
      <c r="AI16" s="24"/>
      <c r="AJ16" s="44">
        <f>IF(AN16=0,L16,0)</f>
        <v>0</v>
      </c>
      <c r="AK16" s="44">
        <f>IF(AN16=15,L16,0)</f>
        <v>0</v>
      </c>
      <c r="AL16" s="44">
        <f>IF(AN16=21,L16,0)</f>
        <v>0</v>
      </c>
      <c r="AN16" s="44">
        <v>21</v>
      </c>
      <c r="AO16" s="44">
        <f>K16*0</f>
        <v>0</v>
      </c>
      <c r="AP16" s="44">
        <f>K16*(1-0)</f>
        <v>0</v>
      </c>
      <c r="AQ16" s="45" t="s">
        <v>49</v>
      </c>
      <c r="AV16" s="44">
        <f>AW16+AX16</f>
        <v>0</v>
      </c>
      <c r="AW16" s="44">
        <f>J16*AO16</f>
        <v>0</v>
      </c>
      <c r="AX16" s="44">
        <f>J16*AP16</f>
        <v>0</v>
      </c>
      <c r="AY16" s="45" t="s">
        <v>63</v>
      </c>
      <c r="AZ16" s="45" t="s">
        <v>55</v>
      </c>
      <c r="BA16" s="24" t="s">
        <v>56</v>
      </c>
      <c r="BC16" s="44">
        <f>AW16+AX16</f>
        <v>0</v>
      </c>
      <c r="BD16" s="44">
        <f>K16/(100-BE16)*100</f>
        <v>0</v>
      </c>
      <c r="BE16" s="44">
        <v>0</v>
      </c>
      <c r="BF16" s="44">
        <f>16</f>
        <v>16</v>
      </c>
      <c r="BH16" s="44">
        <f>J16*AO16</f>
        <v>0</v>
      </c>
      <c r="BI16" s="44">
        <f>J16*AP16</f>
        <v>0</v>
      </c>
      <c r="BJ16" s="44">
        <f>J16*K16</f>
        <v>0</v>
      </c>
      <c r="BK16" s="44" t="s">
        <v>57</v>
      </c>
      <c r="BL16" s="44">
        <v>13</v>
      </c>
    </row>
    <row r="17" spans="1:64" ht="19.5" customHeight="1">
      <c r="A17" s="38" t="s">
        <v>67</v>
      </c>
      <c r="B17" s="39" t="s">
        <v>68</v>
      </c>
      <c r="C17" s="39" t="s">
        <v>69</v>
      </c>
      <c r="D17" s="39"/>
      <c r="E17" s="39"/>
      <c r="F17" s="39"/>
      <c r="G17" s="39"/>
      <c r="H17" s="39"/>
      <c r="I17" s="39" t="s">
        <v>52</v>
      </c>
      <c r="J17" s="42">
        <v>46.08</v>
      </c>
      <c r="K17" s="41">
        <v>0</v>
      </c>
      <c r="L17" s="42">
        <f>J17*K17</f>
        <v>0</v>
      </c>
      <c r="M17" s="43" t="s">
        <v>53</v>
      </c>
      <c r="N17" s="8"/>
      <c r="Z17" s="44">
        <f>IF(AQ17="5",BJ17,0)</f>
        <v>0</v>
      </c>
      <c r="AB17" s="44">
        <f>IF(AQ17="1",BH17,0)</f>
        <v>0</v>
      </c>
      <c r="AC17" s="44">
        <f>IF(AQ17="1",BI17,0)</f>
        <v>0</v>
      </c>
      <c r="AD17" s="44">
        <f>IF(AQ17="7",BH17,0)</f>
        <v>0</v>
      </c>
      <c r="AE17" s="44">
        <f>IF(AQ17="7",BI17,0)</f>
        <v>0</v>
      </c>
      <c r="AF17" s="44">
        <f>IF(AQ17="2",BH17,0)</f>
        <v>0</v>
      </c>
      <c r="AG17" s="44">
        <f>IF(AQ17="2",BI17,0)</f>
        <v>0</v>
      </c>
      <c r="AH17" s="44">
        <f>IF(AQ17="0",BJ17,0)</f>
        <v>0</v>
      </c>
      <c r="AI17" s="24"/>
      <c r="AJ17" s="44">
        <f>IF(AN17=0,L17,0)</f>
        <v>0</v>
      </c>
      <c r="AK17" s="44">
        <f>IF(AN17=15,L17,0)</f>
        <v>0</v>
      </c>
      <c r="AL17" s="44">
        <f>IF(AN17=21,L17,0)</f>
        <v>0</v>
      </c>
      <c r="AN17" s="44">
        <v>21</v>
      </c>
      <c r="AO17" s="44">
        <f>K17*0</f>
        <v>0</v>
      </c>
      <c r="AP17" s="44">
        <f>K17*(1-0)</f>
        <v>0</v>
      </c>
      <c r="AQ17" s="45" t="s">
        <v>49</v>
      </c>
      <c r="AV17" s="44">
        <f>AW17+AX17</f>
        <v>0</v>
      </c>
      <c r="AW17" s="44">
        <f>J17*AO17</f>
        <v>0</v>
      </c>
      <c r="AX17" s="44">
        <f>J17*AP17</f>
        <v>0</v>
      </c>
      <c r="AY17" s="45" t="s">
        <v>63</v>
      </c>
      <c r="AZ17" s="45" t="s">
        <v>55</v>
      </c>
      <c r="BA17" s="24" t="s">
        <v>56</v>
      </c>
      <c r="BC17" s="44">
        <f>AW17+AX17</f>
        <v>0</v>
      </c>
      <c r="BD17" s="44">
        <f>K17/(100-BE17)*100</f>
        <v>0</v>
      </c>
      <c r="BE17" s="44">
        <v>0</v>
      </c>
      <c r="BF17" s="44">
        <f>17</f>
        <v>17</v>
      </c>
      <c r="BH17" s="44">
        <f>J17*AO17</f>
        <v>0</v>
      </c>
      <c r="BI17" s="44">
        <f>J17*AP17</f>
        <v>0</v>
      </c>
      <c r="BJ17" s="44">
        <f>J17*K17</f>
        <v>0</v>
      </c>
      <c r="BK17" s="44" t="s">
        <v>57</v>
      </c>
      <c r="BL17" s="44">
        <v>13</v>
      </c>
    </row>
    <row r="18" spans="1:64" ht="19.5" customHeight="1">
      <c r="A18" s="38" t="s">
        <v>70</v>
      </c>
      <c r="B18" s="39" t="s">
        <v>71</v>
      </c>
      <c r="C18" s="39" t="s">
        <v>72</v>
      </c>
      <c r="D18" s="39"/>
      <c r="E18" s="39"/>
      <c r="F18" s="39"/>
      <c r="G18" s="39"/>
      <c r="H18" s="39"/>
      <c r="I18" s="39" t="s">
        <v>52</v>
      </c>
      <c r="J18" s="42">
        <v>92.16</v>
      </c>
      <c r="K18" s="41">
        <v>0</v>
      </c>
      <c r="L18" s="42">
        <f>J18*K18</f>
        <v>0</v>
      </c>
      <c r="M18" s="43" t="s">
        <v>53</v>
      </c>
      <c r="N18" s="8"/>
      <c r="Z18" s="44">
        <f>IF(AQ18="5",BJ18,0)</f>
        <v>0</v>
      </c>
      <c r="AB18" s="44">
        <f>IF(AQ18="1",BH18,0)</f>
        <v>0</v>
      </c>
      <c r="AC18" s="44">
        <f>IF(AQ18="1",BI18,0)</f>
        <v>0</v>
      </c>
      <c r="AD18" s="44">
        <f>IF(AQ18="7",BH18,0)</f>
        <v>0</v>
      </c>
      <c r="AE18" s="44">
        <f>IF(AQ18="7",BI18,0)</f>
        <v>0</v>
      </c>
      <c r="AF18" s="44">
        <f>IF(AQ18="2",BH18,0)</f>
        <v>0</v>
      </c>
      <c r="AG18" s="44">
        <f>IF(AQ18="2",BI18,0)</f>
        <v>0</v>
      </c>
      <c r="AH18" s="44">
        <f>IF(AQ18="0",BJ18,0)</f>
        <v>0</v>
      </c>
      <c r="AI18" s="24"/>
      <c r="AJ18" s="44">
        <f>IF(AN18=0,L18,0)</f>
        <v>0</v>
      </c>
      <c r="AK18" s="44">
        <f>IF(AN18=15,L18,0)</f>
        <v>0</v>
      </c>
      <c r="AL18" s="44">
        <f>IF(AN18=21,L18,0)</f>
        <v>0</v>
      </c>
      <c r="AN18" s="44">
        <v>21</v>
      </c>
      <c r="AO18" s="44">
        <f>K18*0</f>
        <v>0</v>
      </c>
      <c r="AP18" s="44">
        <f>K18*(1-0)</f>
        <v>0</v>
      </c>
      <c r="AQ18" s="45" t="s">
        <v>49</v>
      </c>
      <c r="AV18" s="44">
        <f>AW18+AX18</f>
        <v>0</v>
      </c>
      <c r="AW18" s="44">
        <f>J18*AO18</f>
        <v>0</v>
      </c>
      <c r="AX18" s="44">
        <f>J18*AP18</f>
        <v>0</v>
      </c>
      <c r="AY18" s="45" t="s">
        <v>63</v>
      </c>
      <c r="AZ18" s="45" t="s">
        <v>55</v>
      </c>
      <c r="BA18" s="24" t="s">
        <v>56</v>
      </c>
      <c r="BC18" s="44">
        <f>AW18+AX18</f>
        <v>0</v>
      </c>
      <c r="BD18" s="44">
        <f>K18/(100-BE18)*100</f>
        <v>0</v>
      </c>
      <c r="BE18" s="44">
        <v>0</v>
      </c>
      <c r="BF18" s="44">
        <f>18</f>
        <v>18</v>
      </c>
      <c r="BH18" s="44">
        <f>J18*AO18</f>
        <v>0</v>
      </c>
      <c r="BI18" s="44">
        <f>J18*AP18</f>
        <v>0</v>
      </c>
      <c r="BJ18" s="44">
        <f>J18*K18</f>
        <v>0</v>
      </c>
      <c r="BK18" s="44" t="s">
        <v>57</v>
      </c>
      <c r="BL18" s="44">
        <v>13</v>
      </c>
    </row>
    <row r="19" spans="1:47" ht="19.5" customHeight="1">
      <c r="A19" s="46"/>
      <c r="B19" s="47" t="s">
        <v>73</v>
      </c>
      <c r="C19" s="47" t="s">
        <v>74</v>
      </c>
      <c r="D19" s="47"/>
      <c r="E19" s="47"/>
      <c r="F19" s="47"/>
      <c r="G19" s="47"/>
      <c r="H19" s="47"/>
      <c r="I19" s="48" t="s">
        <v>4</v>
      </c>
      <c r="J19" s="48" t="s">
        <v>4</v>
      </c>
      <c r="K19" s="48" t="s">
        <v>4</v>
      </c>
      <c r="L19" s="49">
        <f>SUM(L20:L21)</f>
        <v>0</v>
      </c>
      <c r="M19" s="50"/>
      <c r="N19" s="8"/>
      <c r="AI19" s="24"/>
      <c r="AS19" s="37">
        <f>SUM(AJ20:AJ21)</f>
        <v>0</v>
      </c>
      <c r="AT19" s="37">
        <f>SUM(AK20:AK21)</f>
        <v>0</v>
      </c>
      <c r="AU19" s="37">
        <f>SUM(AL20:AL21)</f>
        <v>0</v>
      </c>
    </row>
    <row r="20" spans="1:64" ht="19.5" customHeight="1">
      <c r="A20" s="38" t="s">
        <v>75</v>
      </c>
      <c r="B20" s="39" t="s">
        <v>76</v>
      </c>
      <c r="C20" s="39" t="s">
        <v>77</v>
      </c>
      <c r="D20" s="39"/>
      <c r="E20" s="39"/>
      <c r="F20" s="39"/>
      <c r="G20" s="39"/>
      <c r="H20" s="39"/>
      <c r="I20" s="39" t="s">
        <v>78</v>
      </c>
      <c r="J20" s="42">
        <v>57.6</v>
      </c>
      <c r="K20" s="41">
        <v>0</v>
      </c>
      <c r="L20" s="42">
        <f>J20*K20</f>
        <v>0</v>
      </c>
      <c r="M20" s="43" t="s">
        <v>53</v>
      </c>
      <c r="N20" s="8"/>
      <c r="Z20" s="44">
        <f>IF(AQ20="5",BJ20,0)</f>
        <v>0</v>
      </c>
      <c r="AB20" s="44">
        <f>IF(AQ20="1",BH20,0)</f>
        <v>0</v>
      </c>
      <c r="AC20" s="44">
        <f>IF(AQ20="1",BI20,0)</f>
        <v>0</v>
      </c>
      <c r="AD20" s="44">
        <f>IF(AQ20="7",BH20,0)</f>
        <v>0</v>
      </c>
      <c r="AE20" s="44">
        <f>IF(AQ20="7",BI20,0)</f>
        <v>0</v>
      </c>
      <c r="AF20" s="44">
        <f>IF(AQ20="2",BH20,0)</f>
        <v>0</v>
      </c>
      <c r="AG20" s="44">
        <f>IF(AQ20="2",BI20,0)</f>
        <v>0</v>
      </c>
      <c r="AH20" s="44">
        <f>IF(AQ20="0",BJ20,0)</f>
        <v>0</v>
      </c>
      <c r="AI20" s="24"/>
      <c r="AJ20" s="44">
        <f>IF(AN20=0,L20,0)</f>
        <v>0</v>
      </c>
      <c r="AK20" s="44">
        <f>IF(AN20=15,L20,0)</f>
        <v>0</v>
      </c>
      <c r="AL20" s="44">
        <f>IF(AN20=21,L20,0)</f>
        <v>0</v>
      </c>
      <c r="AN20" s="44">
        <v>21</v>
      </c>
      <c r="AO20" s="44">
        <f>K20*0.159929270765027</f>
        <v>0</v>
      </c>
      <c r="AP20" s="44">
        <f>K20*(1-0.159929270765027)</f>
        <v>0</v>
      </c>
      <c r="AQ20" s="45" t="s">
        <v>49</v>
      </c>
      <c r="AV20" s="44">
        <f>AW20+AX20</f>
        <v>0</v>
      </c>
      <c r="AW20" s="44">
        <f>J20*AO20</f>
        <v>0</v>
      </c>
      <c r="AX20" s="44">
        <f>J20*AP20</f>
        <v>0</v>
      </c>
      <c r="AY20" s="45" t="s">
        <v>79</v>
      </c>
      <c r="AZ20" s="45" t="s">
        <v>55</v>
      </c>
      <c r="BA20" s="24" t="s">
        <v>56</v>
      </c>
      <c r="BC20" s="44">
        <f>AW20+AX20</f>
        <v>0</v>
      </c>
      <c r="BD20" s="44">
        <f>K20/(100-BE20)*100</f>
        <v>0</v>
      </c>
      <c r="BE20" s="44">
        <v>0</v>
      </c>
      <c r="BF20" s="44">
        <f>20</f>
        <v>20</v>
      </c>
      <c r="BH20" s="44">
        <f>J20*AO20</f>
        <v>0</v>
      </c>
      <c r="BI20" s="44">
        <f>J20*AP20</f>
        <v>0</v>
      </c>
      <c r="BJ20" s="44">
        <f>J20*K20</f>
        <v>0</v>
      </c>
      <c r="BK20" s="44" t="s">
        <v>57</v>
      </c>
      <c r="BL20" s="44">
        <v>15</v>
      </c>
    </row>
    <row r="21" spans="1:64" ht="19.5" customHeight="1">
      <c r="A21" s="38" t="s">
        <v>80</v>
      </c>
      <c r="B21" s="39" t="s">
        <v>81</v>
      </c>
      <c r="C21" s="39" t="s">
        <v>82</v>
      </c>
      <c r="D21" s="39"/>
      <c r="E21" s="39"/>
      <c r="F21" s="39"/>
      <c r="G21" s="39"/>
      <c r="H21" s="39"/>
      <c r="I21" s="39" t="s">
        <v>78</v>
      </c>
      <c r="J21" s="42">
        <v>57.6</v>
      </c>
      <c r="K21" s="41">
        <v>0</v>
      </c>
      <c r="L21" s="42">
        <f>J21*K21</f>
        <v>0</v>
      </c>
      <c r="M21" s="43" t="s">
        <v>53</v>
      </c>
      <c r="N21" s="8"/>
      <c r="Z21" s="44">
        <f>IF(AQ21="5",BJ21,0)</f>
        <v>0</v>
      </c>
      <c r="AB21" s="44">
        <f>IF(AQ21="1",BH21,0)</f>
        <v>0</v>
      </c>
      <c r="AC21" s="44">
        <f>IF(AQ21="1",BI21,0)</f>
        <v>0</v>
      </c>
      <c r="AD21" s="44">
        <f>IF(AQ21="7",BH21,0)</f>
        <v>0</v>
      </c>
      <c r="AE21" s="44">
        <f>IF(AQ21="7",BI21,0)</f>
        <v>0</v>
      </c>
      <c r="AF21" s="44">
        <f>IF(AQ21="2",BH21,0)</f>
        <v>0</v>
      </c>
      <c r="AG21" s="44">
        <f>IF(AQ21="2",BI21,0)</f>
        <v>0</v>
      </c>
      <c r="AH21" s="44">
        <f>IF(AQ21="0",BJ21,0)</f>
        <v>0</v>
      </c>
      <c r="AI21" s="24"/>
      <c r="AJ21" s="44">
        <f>IF(AN21=0,L21,0)</f>
        <v>0</v>
      </c>
      <c r="AK21" s="44">
        <f>IF(AN21=15,L21,0)</f>
        <v>0</v>
      </c>
      <c r="AL21" s="44">
        <f>IF(AN21=21,L21,0)</f>
        <v>0</v>
      </c>
      <c r="AN21" s="44">
        <v>21</v>
      </c>
      <c r="AO21" s="44">
        <f>K21*0</f>
        <v>0</v>
      </c>
      <c r="AP21" s="44">
        <f>K21*(1-0)</f>
        <v>0</v>
      </c>
      <c r="AQ21" s="45" t="s">
        <v>49</v>
      </c>
      <c r="AV21" s="44">
        <f>AW21+AX21</f>
        <v>0</v>
      </c>
      <c r="AW21" s="44">
        <f>J21*AO21</f>
        <v>0</v>
      </c>
      <c r="AX21" s="44">
        <f>J21*AP21</f>
        <v>0</v>
      </c>
      <c r="AY21" s="45" t="s">
        <v>79</v>
      </c>
      <c r="AZ21" s="45" t="s">
        <v>55</v>
      </c>
      <c r="BA21" s="24" t="s">
        <v>56</v>
      </c>
      <c r="BC21" s="44">
        <f>AW21+AX21</f>
        <v>0</v>
      </c>
      <c r="BD21" s="44">
        <f>K21/(100-BE21)*100</f>
        <v>0</v>
      </c>
      <c r="BE21" s="44">
        <v>0</v>
      </c>
      <c r="BF21" s="44">
        <f>21</f>
        <v>21</v>
      </c>
      <c r="BH21" s="44">
        <f>J21*AO21</f>
        <v>0</v>
      </c>
      <c r="BI21" s="44">
        <f>J21*AP21</f>
        <v>0</v>
      </c>
      <c r="BJ21" s="44">
        <f>J21*K21</f>
        <v>0</v>
      </c>
      <c r="BK21" s="44" t="s">
        <v>57</v>
      </c>
      <c r="BL21" s="44">
        <v>15</v>
      </c>
    </row>
    <row r="22" spans="1:47" ht="19.5" customHeight="1">
      <c r="A22" s="46"/>
      <c r="B22" s="47" t="s">
        <v>83</v>
      </c>
      <c r="C22" s="47" t="s">
        <v>84</v>
      </c>
      <c r="D22" s="47"/>
      <c r="E22" s="47"/>
      <c r="F22" s="47"/>
      <c r="G22" s="47"/>
      <c r="H22" s="47"/>
      <c r="I22" s="48" t="s">
        <v>4</v>
      </c>
      <c r="J22" s="48" t="s">
        <v>4</v>
      </c>
      <c r="K22" s="48" t="s">
        <v>4</v>
      </c>
      <c r="L22" s="49">
        <f>SUM(L23:L26)</f>
        <v>0</v>
      </c>
      <c r="M22" s="50"/>
      <c r="N22" s="8"/>
      <c r="AI22" s="24"/>
      <c r="AS22" s="37">
        <f>SUM(AJ23:AJ26)</f>
        <v>0</v>
      </c>
      <c r="AT22" s="37">
        <f>SUM(AK23:AK26)</f>
        <v>0</v>
      </c>
      <c r="AU22" s="37">
        <f>SUM(AL23:AL26)</f>
        <v>0</v>
      </c>
    </row>
    <row r="23" spans="1:64" ht="19.5" customHeight="1">
      <c r="A23" s="38" t="s">
        <v>85</v>
      </c>
      <c r="B23" s="39" t="s">
        <v>86</v>
      </c>
      <c r="C23" s="39" t="s">
        <v>87</v>
      </c>
      <c r="D23" s="39"/>
      <c r="E23" s="39"/>
      <c r="F23" s="39"/>
      <c r="G23" s="39"/>
      <c r="H23" s="39"/>
      <c r="I23" s="39" t="s">
        <v>52</v>
      </c>
      <c r="J23" s="42">
        <v>16.3</v>
      </c>
      <c r="K23" s="41">
        <v>0</v>
      </c>
      <c r="L23" s="42">
        <f>J23*K23</f>
        <v>0</v>
      </c>
      <c r="M23" s="43" t="s">
        <v>53</v>
      </c>
      <c r="N23" s="8"/>
      <c r="Z23" s="44">
        <f>IF(AQ23="5",BJ23,0)</f>
        <v>0</v>
      </c>
      <c r="AB23" s="44">
        <f>IF(AQ23="1",BH23,0)</f>
        <v>0</v>
      </c>
      <c r="AC23" s="44">
        <f>IF(AQ23="1",BI23,0)</f>
        <v>0</v>
      </c>
      <c r="AD23" s="44">
        <f>IF(AQ23="7",BH23,0)</f>
        <v>0</v>
      </c>
      <c r="AE23" s="44">
        <f>IF(AQ23="7",BI23,0)</f>
        <v>0</v>
      </c>
      <c r="AF23" s="44">
        <f>IF(AQ23="2",BH23,0)</f>
        <v>0</v>
      </c>
      <c r="AG23" s="44">
        <f>IF(AQ23="2",BI23,0)</f>
        <v>0</v>
      </c>
      <c r="AH23" s="44">
        <f>IF(AQ23="0",BJ23,0)</f>
        <v>0</v>
      </c>
      <c r="AI23" s="24"/>
      <c r="AJ23" s="44">
        <f>IF(AN23=0,L23,0)</f>
        <v>0</v>
      </c>
      <c r="AK23" s="44">
        <f>IF(AN23=15,L23,0)</f>
        <v>0</v>
      </c>
      <c r="AL23" s="44">
        <f>IF(AN23=21,L23,0)</f>
        <v>0</v>
      </c>
      <c r="AN23" s="44">
        <v>21</v>
      </c>
      <c r="AO23" s="44">
        <f>K23*0</f>
        <v>0</v>
      </c>
      <c r="AP23" s="44">
        <f>K23*(1-0)</f>
        <v>0</v>
      </c>
      <c r="AQ23" s="45" t="s">
        <v>49</v>
      </c>
      <c r="AV23" s="44">
        <f>AW23+AX23</f>
        <v>0</v>
      </c>
      <c r="AW23" s="44">
        <f>J23*AO23</f>
        <v>0</v>
      </c>
      <c r="AX23" s="44">
        <f>J23*AP23</f>
        <v>0</v>
      </c>
      <c r="AY23" s="45" t="s">
        <v>88</v>
      </c>
      <c r="AZ23" s="45" t="s">
        <v>55</v>
      </c>
      <c r="BA23" s="24" t="s">
        <v>56</v>
      </c>
      <c r="BC23" s="44">
        <f>AW23+AX23</f>
        <v>0</v>
      </c>
      <c r="BD23" s="44">
        <f>K23/(100-BE23)*100</f>
        <v>0</v>
      </c>
      <c r="BE23" s="44">
        <v>0</v>
      </c>
      <c r="BF23" s="44">
        <f>23</f>
        <v>23</v>
      </c>
      <c r="BH23" s="44">
        <f>J23*AO23</f>
        <v>0</v>
      </c>
      <c r="BI23" s="44">
        <f>J23*AP23</f>
        <v>0</v>
      </c>
      <c r="BJ23" s="44">
        <f>J23*K23</f>
        <v>0</v>
      </c>
      <c r="BK23" s="44" t="s">
        <v>57</v>
      </c>
      <c r="BL23" s="44">
        <v>16</v>
      </c>
    </row>
    <row r="24" spans="1:64" ht="19.5" customHeight="1">
      <c r="A24" s="38" t="s">
        <v>89</v>
      </c>
      <c r="B24" s="39" t="s">
        <v>90</v>
      </c>
      <c r="C24" s="39" t="s">
        <v>91</v>
      </c>
      <c r="D24" s="39"/>
      <c r="E24" s="39"/>
      <c r="F24" s="39"/>
      <c r="G24" s="39"/>
      <c r="H24" s="39"/>
      <c r="I24" s="39" t="s">
        <v>52</v>
      </c>
      <c r="J24" s="42">
        <v>16.3</v>
      </c>
      <c r="K24" s="41">
        <v>0</v>
      </c>
      <c r="L24" s="42">
        <f>J24*K24</f>
        <v>0</v>
      </c>
      <c r="M24" s="43" t="s">
        <v>53</v>
      </c>
      <c r="N24" s="8"/>
      <c r="Z24" s="44">
        <f>IF(AQ24="5",BJ24,0)</f>
        <v>0</v>
      </c>
      <c r="AB24" s="44">
        <f>IF(AQ24="1",BH24,0)</f>
        <v>0</v>
      </c>
      <c r="AC24" s="44">
        <f>IF(AQ24="1",BI24,0)</f>
        <v>0</v>
      </c>
      <c r="AD24" s="44">
        <f>IF(AQ24="7",BH24,0)</f>
        <v>0</v>
      </c>
      <c r="AE24" s="44">
        <f>IF(AQ24="7",BI24,0)</f>
        <v>0</v>
      </c>
      <c r="AF24" s="44">
        <f>IF(AQ24="2",BH24,0)</f>
        <v>0</v>
      </c>
      <c r="AG24" s="44">
        <f>IF(AQ24="2",BI24,0)</f>
        <v>0</v>
      </c>
      <c r="AH24" s="44">
        <f>IF(AQ24="0",BJ24,0)</f>
        <v>0</v>
      </c>
      <c r="AI24" s="24"/>
      <c r="AJ24" s="44">
        <f>IF(AN24=0,L24,0)</f>
        <v>0</v>
      </c>
      <c r="AK24" s="44">
        <f>IF(AN24=15,L24,0)</f>
        <v>0</v>
      </c>
      <c r="AL24" s="44">
        <f>IF(AN24=21,L24,0)</f>
        <v>0</v>
      </c>
      <c r="AN24" s="44">
        <v>21</v>
      </c>
      <c r="AO24" s="44">
        <f>K24*0</f>
        <v>0</v>
      </c>
      <c r="AP24" s="44">
        <f>K24*(1-0)</f>
        <v>0</v>
      </c>
      <c r="AQ24" s="45" t="s">
        <v>49</v>
      </c>
      <c r="AV24" s="44">
        <f>AW24+AX24</f>
        <v>0</v>
      </c>
      <c r="AW24" s="44">
        <f>J24*AO24</f>
        <v>0</v>
      </c>
      <c r="AX24" s="44">
        <f>J24*AP24</f>
        <v>0</v>
      </c>
      <c r="AY24" s="45" t="s">
        <v>88</v>
      </c>
      <c r="AZ24" s="45" t="s">
        <v>55</v>
      </c>
      <c r="BA24" s="24" t="s">
        <v>56</v>
      </c>
      <c r="BB24" s="24" t="s">
        <v>92</v>
      </c>
      <c r="BC24" s="44">
        <f>AW24+AX24</f>
        <v>0</v>
      </c>
      <c r="BD24" s="44">
        <f>K24/(100-BE24)*100</f>
        <v>0</v>
      </c>
      <c r="BE24" s="44">
        <v>0</v>
      </c>
      <c r="BF24" s="44">
        <f>24</f>
        <v>24</v>
      </c>
      <c r="BH24" s="44">
        <f>J24*AO24</f>
        <v>0</v>
      </c>
      <c r="BI24" s="44">
        <f>J24*AP24</f>
        <v>0</v>
      </c>
      <c r="BJ24" s="44">
        <f>J24*K24</f>
        <v>0</v>
      </c>
      <c r="BK24" s="44" t="s">
        <v>57</v>
      </c>
      <c r="BL24" s="44">
        <v>16</v>
      </c>
    </row>
    <row r="25" spans="1:64" ht="19.5" customHeight="1">
      <c r="A25" s="38" t="s">
        <v>93</v>
      </c>
      <c r="B25" s="39" t="s">
        <v>94</v>
      </c>
      <c r="C25" s="39" t="s">
        <v>95</v>
      </c>
      <c r="D25" s="39"/>
      <c r="E25" s="39"/>
      <c r="F25" s="39"/>
      <c r="G25" s="39"/>
      <c r="H25" s="39"/>
      <c r="I25" s="39" t="s">
        <v>52</v>
      </c>
      <c r="J25" s="42">
        <v>163</v>
      </c>
      <c r="K25" s="41">
        <v>0</v>
      </c>
      <c r="L25" s="42">
        <f>J25*K25</f>
        <v>0</v>
      </c>
      <c r="M25" s="43" t="s">
        <v>53</v>
      </c>
      <c r="N25" s="8"/>
      <c r="Z25" s="44">
        <f>IF(AQ25="5",BJ25,0)</f>
        <v>0</v>
      </c>
      <c r="AB25" s="44">
        <f>IF(AQ25="1",BH25,0)</f>
        <v>0</v>
      </c>
      <c r="AC25" s="44">
        <f>IF(AQ25="1",BI25,0)</f>
        <v>0</v>
      </c>
      <c r="AD25" s="44">
        <f>IF(AQ25="7",BH25,0)</f>
        <v>0</v>
      </c>
      <c r="AE25" s="44">
        <f>IF(AQ25="7",BI25,0)</f>
        <v>0</v>
      </c>
      <c r="AF25" s="44">
        <f>IF(AQ25="2",BH25,0)</f>
        <v>0</v>
      </c>
      <c r="AG25" s="44">
        <f>IF(AQ25="2",BI25,0)</f>
        <v>0</v>
      </c>
      <c r="AH25" s="44">
        <f>IF(AQ25="0",BJ25,0)</f>
        <v>0</v>
      </c>
      <c r="AI25" s="24"/>
      <c r="AJ25" s="44">
        <f>IF(AN25=0,L25,0)</f>
        <v>0</v>
      </c>
      <c r="AK25" s="44">
        <f>IF(AN25=15,L25,0)</f>
        <v>0</v>
      </c>
      <c r="AL25" s="44">
        <f>IF(AN25=21,L25,0)</f>
        <v>0</v>
      </c>
      <c r="AN25" s="44">
        <v>21</v>
      </c>
      <c r="AO25" s="44">
        <f>K25*0</f>
        <v>0</v>
      </c>
      <c r="AP25" s="44">
        <f>K25*(1-0)</f>
        <v>0</v>
      </c>
      <c r="AQ25" s="45" t="s">
        <v>49</v>
      </c>
      <c r="AV25" s="44">
        <f>AW25+AX25</f>
        <v>0</v>
      </c>
      <c r="AW25" s="44">
        <f>J25*AO25</f>
        <v>0</v>
      </c>
      <c r="AX25" s="44">
        <f>J25*AP25</f>
        <v>0</v>
      </c>
      <c r="AY25" s="45" t="s">
        <v>88</v>
      </c>
      <c r="AZ25" s="45" t="s">
        <v>55</v>
      </c>
      <c r="BA25" s="24" t="s">
        <v>56</v>
      </c>
      <c r="BC25" s="44">
        <f>AW25+AX25</f>
        <v>0</v>
      </c>
      <c r="BD25" s="44">
        <f>K25/(100-BE25)*100</f>
        <v>0</v>
      </c>
      <c r="BE25" s="44">
        <v>0</v>
      </c>
      <c r="BF25" s="44">
        <f>25</f>
        <v>25</v>
      </c>
      <c r="BH25" s="44">
        <f>J25*AO25</f>
        <v>0</v>
      </c>
      <c r="BI25" s="44">
        <f>J25*AP25</f>
        <v>0</v>
      </c>
      <c r="BJ25" s="44">
        <f>J25*K25</f>
        <v>0</v>
      </c>
      <c r="BK25" s="44" t="s">
        <v>57</v>
      </c>
      <c r="BL25" s="44">
        <v>16</v>
      </c>
    </row>
    <row r="26" spans="1:64" ht="19.5" customHeight="1">
      <c r="A26" s="38" t="s">
        <v>96</v>
      </c>
      <c r="B26" s="39" t="s">
        <v>97</v>
      </c>
      <c r="C26" s="39" t="s">
        <v>98</v>
      </c>
      <c r="D26" s="39"/>
      <c r="E26" s="39"/>
      <c r="F26" s="39"/>
      <c r="G26" s="39"/>
      <c r="H26" s="39"/>
      <c r="I26" s="39" t="s">
        <v>99</v>
      </c>
      <c r="J26" s="42">
        <v>16.3</v>
      </c>
      <c r="K26" s="41">
        <v>0</v>
      </c>
      <c r="L26" s="42">
        <f>J26*K26</f>
        <v>0</v>
      </c>
      <c r="M26" s="43" t="s">
        <v>53</v>
      </c>
      <c r="N26" s="8"/>
      <c r="Z26" s="44">
        <f>IF(AQ26="5",BJ26,0)</f>
        <v>0</v>
      </c>
      <c r="AB26" s="44">
        <f>IF(AQ26="1",BH26,0)</f>
        <v>0</v>
      </c>
      <c r="AC26" s="44">
        <f>IF(AQ26="1",BI26,0)</f>
        <v>0</v>
      </c>
      <c r="AD26" s="44">
        <f>IF(AQ26="7",BH26,0)</f>
        <v>0</v>
      </c>
      <c r="AE26" s="44">
        <f>IF(AQ26="7",BI26,0)</f>
        <v>0</v>
      </c>
      <c r="AF26" s="44">
        <f>IF(AQ26="2",BH26,0)</f>
        <v>0</v>
      </c>
      <c r="AG26" s="44">
        <f>IF(AQ26="2",BI26,0)</f>
        <v>0</v>
      </c>
      <c r="AH26" s="44">
        <f>IF(AQ26="0",BJ26,0)</f>
        <v>0</v>
      </c>
      <c r="AI26" s="24"/>
      <c r="AJ26" s="44">
        <f>IF(AN26=0,L26,0)</f>
        <v>0</v>
      </c>
      <c r="AK26" s="44">
        <f>IF(AN26=15,L26,0)</f>
        <v>0</v>
      </c>
      <c r="AL26" s="44">
        <f>IF(AN26=21,L26,0)</f>
        <v>0</v>
      </c>
      <c r="AN26" s="44">
        <v>21</v>
      </c>
      <c r="AO26" s="44">
        <f>K26*0</f>
        <v>0</v>
      </c>
      <c r="AP26" s="44">
        <f>K26*(1-0)</f>
        <v>0</v>
      </c>
      <c r="AQ26" s="45" t="s">
        <v>49</v>
      </c>
      <c r="AV26" s="44">
        <f>AW26+AX26</f>
        <v>0</v>
      </c>
      <c r="AW26" s="44">
        <f>J26*AO26</f>
        <v>0</v>
      </c>
      <c r="AX26" s="44">
        <f>J26*AP26</f>
        <v>0</v>
      </c>
      <c r="AY26" s="45" t="s">
        <v>88</v>
      </c>
      <c r="AZ26" s="45" t="s">
        <v>55</v>
      </c>
      <c r="BA26" s="24" t="s">
        <v>56</v>
      </c>
      <c r="BC26" s="44">
        <f>AW26+AX26</f>
        <v>0</v>
      </c>
      <c r="BD26" s="44">
        <f>K26/(100-BE26)*100</f>
        <v>0</v>
      </c>
      <c r="BE26" s="44">
        <v>0</v>
      </c>
      <c r="BF26" s="44">
        <f>26</f>
        <v>26</v>
      </c>
      <c r="BH26" s="44">
        <f>J26*AO26</f>
        <v>0</v>
      </c>
      <c r="BI26" s="44">
        <f>J26*AP26</f>
        <v>0</v>
      </c>
      <c r="BJ26" s="44">
        <f>J26*K26</f>
        <v>0</v>
      </c>
      <c r="BK26" s="44" t="s">
        <v>57</v>
      </c>
      <c r="BL26" s="44">
        <v>16</v>
      </c>
    </row>
    <row r="27" spans="1:47" ht="19.5" customHeight="1">
      <c r="A27" s="46"/>
      <c r="B27" s="47" t="s">
        <v>100</v>
      </c>
      <c r="C27" s="47" t="s">
        <v>101</v>
      </c>
      <c r="D27" s="47"/>
      <c r="E27" s="47"/>
      <c r="F27" s="47"/>
      <c r="G27" s="47"/>
      <c r="H27" s="47"/>
      <c r="I27" s="48" t="s">
        <v>4</v>
      </c>
      <c r="J27" s="48" t="s">
        <v>4</v>
      </c>
      <c r="K27" s="48" t="s">
        <v>4</v>
      </c>
      <c r="L27" s="49">
        <f>SUM(L28:L30)</f>
        <v>0</v>
      </c>
      <c r="M27" s="50"/>
      <c r="N27" s="8"/>
      <c r="AI27" s="24"/>
      <c r="AS27" s="37">
        <f>SUM(AJ28:AJ30)</f>
        <v>0</v>
      </c>
      <c r="AT27" s="37">
        <f>SUM(AK28:AK30)</f>
        <v>0</v>
      </c>
      <c r="AU27" s="37">
        <f>SUM(AL28:AL30)</f>
        <v>0</v>
      </c>
    </row>
    <row r="28" spans="1:64" ht="19.5" customHeight="1">
      <c r="A28" s="38" t="s">
        <v>47</v>
      </c>
      <c r="B28" s="39" t="s">
        <v>102</v>
      </c>
      <c r="C28" s="39" t="s">
        <v>103</v>
      </c>
      <c r="D28" s="39"/>
      <c r="E28" s="39"/>
      <c r="F28" s="39"/>
      <c r="G28" s="39"/>
      <c r="H28" s="39"/>
      <c r="I28" s="39" t="s">
        <v>52</v>
      </c>
      <c r="J28" s="42">
        <v>16.3</v>
      </c>
      <c r="K28" s="41">
        <v>0</v>
      </c>
      <c r="L28" s="42">
        <f>J28*K28</f>
        <v>0</v>
      </c>
      <c r="M28" s="43" t="s">
        <v>53</v>
      </c>
      <c r="N28" s="8"/>
      <c r="Z28" s="44">
        <f>IF(AQ28="5",BJ28,0)</f>
        <v>0</v>
      </c>
      <c r="AB28" s="44">
        <f>IF(AQ28="1",BH28,0)</f>
        <v>0</v>
      </c>
      <c r="AC28" s="44">
        <f>IF(AQ28="1",BI28,0)</f>
        <v>0</v>
      </c>
      <c r="AD28" s="44">
        <f>IF(AQ28="7",BH28,0)</f>
        <v>0</v>
      </c>
      <c r="AE28" s="44">
        <f>IF(AQ28="7",BI28,0)</f>
        <v>0</v>
      </c>
      <c r="AF28" s="44">
        <f>IF(AQ28="2",BH28,0)</f>
        <v>0</v>
      </c>
      <c r="AG28" s="44">
        <f>IF(AQ28="2",BI28,0)</f>
        <v>0</v>
      </c>
      <c r="AH28" s="44">
        <f>IF(AQ28="0",BJ28,0)</f>
        <v>0</v>
      </c>
      <c r="AI28" s="24"/>
      <c r="AJ28" s="44">
        <f>IF(AN28=0,L28,0)</f>
        <v>0</v>
      </c>
      <c r="AK28" s="44">
        <f>IF(AN28=15,L28,0)</f>
        <v>0</v>
      </c>
      <c r="AL28" s="44">
        <f>IF(AN28=21,L28,0)</f>
        <v>0</v>
      </c>
      <c r="AN28" s="44">
        <v>21</v>
      </c>
      <c r="AO28" s="44">
        <f>K28*0.389524647887324</f>
        <v>0</v>
      </c>
      <c r="AP28" s="44">
        <f>K28*(1-0.389524647887324)</f>
        <v>0</v>
      </c>
      <c r="AQ28" s="45" t="s">
        <v>49</v>
      </c>
      <c r="AV28" s="44">
        <f>AW28+AX28</f>
        <v>0</v>
      </c>
      <c r="AW28" s="44">
        <f>J28*AO28</f>
        <v>0</v>
      </c>
      <c r="AX28" s="44">
        <f>J28*AP28</f>
        <v>0</v>
      </c>
      <c r="AY28" s="45" t="s">
        <v>104</v>
      </c>
      <c r="AZ28" s="45" t="s">
        <v>55</v>
      </c>
      <c r="BA28" s="24" t="s">
        <v>56</v>
      </c>
      <c r="BB28" s="24" t="s">
        <v>105</v>
      </c>
      <c r="BC28" s="44">
        <f>AW28+AX28</f>
        <v>0</v>
      </c>
      <c r="BD28" s="44">
        <f>K28/(100-BE28)*100</f>
        <v>0</v>
      </c>
      <c r="BE28" s="44">
        <v>0</v>
      </c>
      <c r="BF28" s="44">
        <f>28</f>
        <v>28</v>
      </c>
      <c r="BH28" s="44">
        <f>J28*AO28</f>
        <v>0</v>
      </c>
      <c r="BI28" s="44">
        <f>J28*AP28</f>
        <v>0</v>
      </c>
      <c r="BJ28" s="44">
        <f>J28*K28</f>
        <v>0</v>
      </c>
      <c r="BK28" s="44" t="s">
        <v>57</v>
      </c>
      <c r="BL28" s="44">
        <v>17</v>
      </c>
    </row>
    <row r="29" spans="1:64" ht="19.5" customHeight="1">
      <c r="A29" s="38" t="s">
        <v>58</v>
      </c>
      <c r="B29" s="39" t="s">
        <v>106</v>
      </c>
      <c r="C29" s="39" t="s">
        <v>107</v>
      </c>
      <c r="D29" s="39"/>
      <c r="E29" s="39"/>
      <c r="F29" s="39"/>
      <c r="G29" s="39"/>
      <c r="H29" s="39"/>
      <c r="I29" s="39" t="s">
        <v>52</v>
      </c>
      <c r="J29" s="42">
        <v>29.2</v>
      </c>
      <c r="K29" s="41">
        <v>0</v>
      </c>
      <c r="L29" s="42">
        <f>J29*K29</f>
        <v>0</v>
      </c>
      <c r="M29" s="43" t="s">
        <v>53</v>
      </c>
      <c r="N29" s="8"/>
      <c r="Z29" s="44">
        <f>IF(AQ29="5",BJ29,0)</f>
        <v>0</v>
      </c>
      <c r="AB29" s="44">
        <f>IF(AQ29="1",BH29,0)</f>
        <v>0</v>
      </c>
      <c r="AC29" s="44">
        <f>IF(AQ29="1",BI29,0)</f>
        <v>0</v>
      </c>
      <c r="AD29" s="44">
        <f>IF(AQ29="7",BH29,0)</f>
        <v>0</v>
      </c>
      <c r="AE29" s="44">
        <f>IF(AQ29="7",BI29,0)</f>
        <v>0</v>
      </c>
      <c r="AF29" s="44">
        <f>IF(AQ29="2",BH29,0)</f>
        <v>0</v>
      </c>
      <c r="AG29" s="44">
        <f>IF(AQ29="2",BI29,0)</f>
        <v>0</v>
      </c>
      <c r="AH29" s="44">
        <f>IF(AQ29="0",BJ29,0)</f>
        <v>0</v>
      </c>
      <c r="AI29" s="24"/>
      <c r="AJ29" s="44">
        <f>IF(AN29=0,L29,0)</f>
        <v>0</v>
      </c>
      <c r="AK29" s="44">
        <f>IF(AN29=15,L29,0)</f>
        <v>0</v>
      </c>
      <c r="AL29" s="44">
        <f>IF(AN29=21,L29,0)</f>
        <v>0</v>
      </c>
      <c r="AN29" s="44">
        <v>21</v>
      </c>
      <c r="AO29" s="44">
        <f>K29*0</f>
        <v>0</v>
      </c>
      <c r="AP29" s="44">
        <f>K29*(1-0)</f>
        <v>0</v>
      </c>
      <c r="AQ29" s="45" t="s">
        <v>49</v>
      </c>
      <c r="AV29" s="44">
        <f>AW29+AX29</f>
        <v>0</v>
      </c>
      <c r="AW29" s="44">
        <f>J29*AO29</f>
        <v>0</v>
      </c>
      <c r="AX29" s="44">
        <f>J29*AP29</f>
        <v>0</v>
      </c>
      <c r="AY29" s="45" t="s">
        <v>104</v>
      </c>
      <c r="AZ29" s="45" t="s">
        <v>55</v>
      </c>
      <c r="BA29" s="24" t="s">
        <v>56</v>
      </c>
      <c r="BC29" s="44">
        <f>AW29+AX29</f>
        <v>0</v>
      </c>
      <c r="BD29" s="44">
        <f>K29/(100-BE29)*100</f>
        <v>0</v>
      </c>
      <c r="BE29" s="44">
        <v>0</v>
      </c>
      <c r="BF29" s="44">
        <f>29</f>
        <v>29</v>
      </c>
      <c r="BH29" s="44">
        <f>J29*AO29</f>
        <v>0</v>
      </c>
      <c r="BI29" s="44">
        <f>J29*AP29</f>
        <v>0</v>
      </c>
      <c r="BJ29" s="44">
        <f>J29*K29</f>
        <v>0</v>
      </c>
      <c r="BK29" s="44" t="s">
        <v>57</v>
      </c>
      <c r="BL29" s="44">
        <v>17</v>
      </c>
    </row>
    <row r="30" spans="1:64" ht="19.5" customHeight="1">
      <c r="A30" s="38" t="s">
        <v>108</v>
      </c>
      <c r="B30" s="39" t="s">
        <v>109</v>
      </c>
      <c r="C30" s="39" t="s">
        <v>110</v>
      </c>
      <c r="D30" s="39"/>
      <c r="E30" s="39"/>
      <c r="F30" s="39"/>
      <c r="G30" s="39"/>
      <c r="H30" s="39"/>
      <c r="I30" s="39" t="s">
        <v>52</v>
      </c>
      <c r="J30" s="42">
        <v>29.2</v>
      </c>
      <c r="K30" s="41">
        <v>0</v>
      </c>
      <c r="L30" s="42">
        <f>J30*K30</f>
        <v>0</v>
      </c>
      <c r="M30" s="43" t="s">
        <v>53</v>
      </c>
      <c r="N30" s="8"/>
      <c r="Z30" s="44">
        <f>IF(AQ30="5",BJ30,0)</f>
        <v>0</v>
      </c>
      <c r="AB30" s="44">
        <f>IF(AQ30="1",BH30,0)</f>
        <v>0</v>
      </c>
      <c r="AC30" s="44">
        <f>IF(AQ30="1",BI30,0)</f>
        <v>0</v>
      </c>
      <c r="AD30" s="44">
        <f>IF(AQ30="7",BH30,0)</f>
        <v>0</v>
      </c>
      <c r="AE30" s="44">
        <f>IF(AQ30="7",BI30,0)</f>
        <v>0</v>
      </c>
      <c r="AF30" s="44">
        <f>IF(AQ30="2",BH30,0)</f>
        <v>0</v>
      </c>
      <c r="AG30" s="44">
        <f>IF(AQ30="2",BI30,0)</f>
        <v>0</v>
      </c>
      <c r="AH30" s="44">
        <f>IF(AQ30="0",BJ30,0)</f>
        <v>0</v>
      </c>
      <c r="AI30" s="24"/>
      <c r="AJ30" s="44">
        <f>IF(AN30=0,L30,0)</f>
        <v>0</v>
      </c>
      <c r="AK30" s="44">
        <f>IF(AN30=15,L30,0)</f>
        <v>0</v>
      </c>
      <c r="AL30" s="44">
        <f>IF(AN30=21,L30,0)</f>
        <v>0</v>
      </c>
      <c r="AN30" s="44">
        <v>21</v>
      </c>
      <c r="AO30" s="44">
        <f>K30*0</f>
        <v>0</v>
      </c>
      <c r="AP30" s="44">
        <f>K30*(1-0)</f>
        <v>0</v>
      </c>
      <c r="AQ30" s="45" t="s">
        <v>49</v>
      </c>
      <c r="AV30" s="44">
        <f>AW30+AX30</f>
        <v>0</v>
      </c>
      <c r="AW30" s="44">
        <f>J30*AO30</f>
        <v>0</v>
      </c>
      <c r="AX30" s="44">
        <f>J30*AP30</f>
        <v>0</v>
      </c>
      <c r="AY30" s="45" t="s">
        <v>104</v>
      </c>
      <c r="AZ30" s="45" t="s">
        <v>55</v>
      </c>
      <c r="BA30" s="24" t="s">
        <v>56</v>
      </c>
      <c r="BC30" s="44">
        <f>AW30+AX30</f>
        <v>0</v>
      </c>
      <c r="BD30" s="44">
        <f>K30/(100-BE30)*100</f>
        <v>0</v>
      </c>
      <c r="BE30" s="44">
        <v>0</v>
      </c>
      <c r="BF30" s="44">
        <f>30</f>
        <v>30</v>
      </c>
      <c r="BH30" s="44">
        <f>J30*AO30</f>
        <v>0</v>
      </c>
      <c r="BI30" s="44">
        <f>J30*AP30</f>
        <v>0</v>
      </c>
      <c r="BJ30" s="44">
        <f>J30*K30</f>
        <v>0</v>
      </c>
      <c r="BK30" s="44" t="s">
        <v>57</v>
      </c>
      <c r="BL30" s="44">
        <v>17</v>
      </c>
    </row>
    <row r="31" spans="1:47" ht="19.5" customHeight="1">
      <c r="A31" s="46"/>
      <c r="B31" s="47" t="s">
        <v>111</v>
      </c>
      <c r="C31" s="47" t="s">
        <v>112</v>
      </c>
      <c r="D31" s="47"/>
      <c r="E31" s="47"/>
      <c r="F31" s="47"/>
      <c r="G31" s="47"/>
      <c r="H31" s="47"/>
      <c r="I31" s="48" t="s">
        <v>4</v>
      </c>
      <c r="J31" s="48" t="s">
        <v>4</v>
      </c>
      <c r="K31" s="48" t="s">
        <v>4</v>
      </c>
      <c r="L31" s="49">
        <f>SUM(L32:L34)</f>
        <v>0</v>
      </c>
      <c r="M31" s="50"/>
      <c r="N31" s="8"/>
      <c r="AI31" s="24"/>
      <c r="AS31" s="37">
        <f>SUM(AJ32:AJ34)</f>
        <v>0</v>
      </c>
      <c r="AT31" s="37">
        <f>SUM(AK32:AK34)</f>
        <v>0</v>
      </c>
      <c r="AU31" s="37">
        <f>SUM(AL32:AL34)</f>
        <v>0</v>
      </c>
    </row>
    <row r="32" spans="1:64" ht="19.5" customHeight="1">
      <c r="A32" s="38" t="s">
        <v>73</v>
      </c>
      <c r="B32" s="39" t="s">
        <v>113</v>
      </c>
      <c r="C32" s="39" t="s">
        <v>114</v>
      </c>
      <c r="D32" s="39"/>
      <c r="E32" s="39"/>
      <c r="F32" s="39"/>
      <c r="G32" s="39"/>
      <c r="H32" s="39"/>
      <c r="I32" s="39" t="s">
        <v>78</v>
      </c>
      <c r="J32" s="42">
        <v>27</v>
      </c>
      <c r="K32" s="41">
        <v>0</v>
      </c>
      <c r="L32" s="42">
        <f>J32*K32</f>
        <v>0</v>
      </c>
      <c r="M32" s="43" t="s">
        <v>53</v>
      </c>
      <c r="N32" s="8"/>
      <c r="Z32" s="44">
        <f>IF(AQ32="5",BJ32,0)</f>
        <v>0</v>
      </c>
      <c r="AB32" s="44">
        <f>IF(AQ32="1",BH32,0)</f>
        <v>0</v>
      </c>
      <c r="AC32" s="44">
        <f>IF(AQ32="1",BI32,0)</f>
        <v>0</v>
      </c>
      <c r="AD32" s="44">
        <f>IF(AQ32="7",BH32,0)</f>
        <v>0</v>
      </c>
      <c r="AE32" s="44">
        <f>IF(AQ32="7",BI32,0)</f>
        <v>0</v>
      </c>
      <c r="AF32" s="44">
        <f>IF(AQ32="2",BH32,0)</f>
        <v>0</v>
      </c>
      <c r="AG32" s="44">
        <f>IF(AQ32="2",BI32,0)</f>
        <v>0</v>
      </c>
      <c r="AH32" s="44">
        <f>IF(AQ32="0",BJ32,0)</f>
        <v>0</v>
      </c>
      <c r="AI32" s="24"/>
      <c r="AJ32" s="44">
        <f>IF(AN32=0,L32,0)</f>
        <v>0</v>
      </c>
      <c r="AK32" s="44">
        <f>IF(AN32=15,L32,0)</f>
        <v>0</v>
      </c>
      <c r="AL32" s="44">
        <f>IF(AN32=21,L32,0)</f>
        <v>0</v>
      </c>
      <c r="AN32" s="44">
        <v>21</v>
      </c>
      <c r="AO32" s="44">
        <f>K32*0.0952441424852372</f>
        <v>0</v>
      </c>
      <c r="AP32" s="44">
        <f>K32*(1-0.0952441424852372)</f>
        <v>0</v>
      </c>
      <c r="AQ32" s="45" t="s">
        <v>49</v>
      </c>
      <c r="AV32" s="44">
        <f>AW32+AX32</f>
        <v>0</v>
      </c>
      <c r="AW32" s="44">
        <f>J32*AO32</f>
        <v>0</v>
      </c>
      <c r="AX32" s="44">
        <f>J32*AP32</f>
        <v>0</v>
      </c>
      <c r="AY32" s="45" t="s">
        <v>115</v>
      </c>
      <c r="AZ32" s="45" t="s">
        <v>55</v>
      </c>
      <c r="BA32" s="24" t="s">
        <v>56</v>
      </c>
      <c r="BC32" s="44">
        <f>AW32+AX32</f>
        <v>0</v>
      </c>
      <c r="BD32" s="44">
        <f>K32/(100-BE32)*100</f>
        <v>0</v>
      </c>
      <c r="BE32" s="44">
        <v>0</v>
      </c>
      <c r="BF32" s="44">
        <f>32</f>
        <v>32</v>
      </c>
      <c r="BH32" s="44">
        <f>J32*AO32</f>
        <v>0</v>
      </c>
      <c r="BI32" s="44">
        <f>J32*AP32</f>
        <v>0</v>
      </c>
      <c r="BJ32" s="44">
        <f>J32*K32</f>
        <v>0</v>
      </c>
      <c r="BK32" s="44" t="s">
        <v>57</v>
      </c>
      <c r="BL32" s="44">
        <v>18</v>
      </c>
    </row>
    <row r="33" spans="1:64" ht="19.5" customHeight="1">
      <c r="A33" s="38" t="s">
        <v>83</v>
      </c>
      <c r="B33" s="39" t="s">
        <v>116</v>
      </c>
      <c r="C33" s="39" t="s">
        <v>117</v>
      </c>
      <c r="D33" s="39"/>
      <c r="E33" s="39"/>
      <c r="F33" s="39"/>
      <c r="G33" s="39"/>
      <c r="H33" s="39"/>
      <c r="I33" s="39" t="s">
        <v>78</v>
      </c>
      <c r="J33" s="42">
        <v>5</v>
      </c>
      <c r="K33" s="41">
        <v>0</v>
      </c>
      <c r="L33" s="42">
        <f>J33*K33</f>
        <v>0</v>
      </c>
      <c r="M33" s="43" t="s">
        <v>53</v>
      </c>
      <c r="N33" s="8"/>
      <c r="Z33" s="44">
        <f>IF(AQ33="5",BJ33,0)</f>
        <v>0</v>
      </c>
      <c r="AB33" s="44">
        <f>IF(AQ33="1",BH33,0)</f>
        <v>0</v>
      </c>
      <c r="AC33" s="44">
        <f>IF(AQ33="1",BI33,0)</f>
        <v>0</v>
      </c>
      <c r="AD33" s="44">
        <f>IF(AQ33="7",BH33,0)</f>
        <v>0</v>
      </c>
      <c r="AE33" s="44">
        <f>IF(AQ33="7",BI33,0)</f>
        <v>0</v>
      </c>
      <c r="AF33" s="44">
        <f>IF(AQ33="2",BH33,0)</f>
        <v>0</v>
      </c>
      <c r="AG33" s="44">
        <f>IF(AQ33="2",BI33,0)</f>
        <v>0</v>
      </c>
      <c r="AH33" s="44">
        <f>IF(AQ33="0",BJ33,0)</f>
        <v>0</v>
      </c>
      <c r="AI33" s="24"/>
      <c r="AJ33" s="44">
        <f>IF(AN33=0,L33,0)</f>
        <v>0</v>
      </c>
      <c r="AK33" s="44">
        <f>IF(AN33=15,L33,0)</f>
        <v>0</v>
      </c>
      <c r="AL33" s="44">
        <f>IF(AN33=21,L33,0)</f>
        <v>0</v>
      </c>
      <c r="AN33" s="44">
        <v>21</v>
      </c>
      <c r="AO33" s="44">
        <f>K33*0.198827480009647</f>
        <v>0</v>
      </c>
      <c r="AP33" s="44">
        <f>K33*(1-0.198827480009647)</f>
        <v>0</v>
      </c>
      <c r="AQ33" s="45" t="s">
        <v>49</v>
      </c>
      <c r="AV33" s="44">
        <f>AW33+AX33</f>
        <v>0</v>
      </c>
      <c r="AW33" s="44">
        <f>J33*AO33</f>
        <v>0</v>
      </c>
      <c r="AX33" s="44">
        <f>J33*AP33</f>
        <v>0</v>
      </c>
      <c r="AY33" s="45" t="s">
        <v>115</v>
      </c>
      <c r="AZ33" s="45" t="s">
        <v>55</v>
      </c>
      <c r="BA33" s="24" t="s">
        <v>56</v>
      </c>
      <c r="BC33" s="44">
        <f>AW33+AX33</f>
        <v>0</v>
      </c>
      <c r="BD33" s="44">
        <f>K33/(100-BE33)*100</f>
        <v>0</v>
      </c>
      <c r="BE33" s="44">
        <v>0</v>
      </c>
      <c r="BF33" s="44">
        <f>33</f>
        <v>33</v>
      </c>
      <c r="BH33" s="44">
        <f>J33*AO33</f>
        <v>0</v>
      </c>
      <c r="BI33" s="44">
        <f>J33*AP33</f>
        <v>0</v>
      </c>
      <c r="BJ33" s="44">
        <f>J33*K33</f>
        <v>0</v>
      </c>
      <c r="BK33" s="44" t="s">
        <v>57</v>
      </c>
      <c r="BL33" s="44">
        <v>18</v>
      </c>
    </row>
    <row r="34" spans="1:64" ht="19.5" customHeight="1">
      <c r="A34" s="38" t="s">
        <v>100</v>
      </c>
      <c r="B34" s="39" t="s">
        <v>118</v>
      </c>
      <c r="C34" s="39" t="s">
        <v>119</v>
      </c>
      <c r="D34" s="39"/>
      <c r="E34" s="39"/>
      <c r="F34" s="39"/>
      <c r="G34" s="39"/>
      <c r="H34" s="39"/>
      <c r="I34" s="39" t="s">
        <v>78</v>
      </c>
      <c r="J34" s="42">
        <v>5</v>
      </c>
      <c r="K34" s="41">
        <v>0</v>
      </c>
      <c r="L34" s="42">
        <f>J34*K34</f>
        <v>0</v>
      </c>
      <c r="M34" s="43" t="s">
        <v>53</v>
      </c>
      <c r="N34" s="8"/>
      <c r="Z34" s="44">
        <f>IF(AQ34="5",BJ34,0)</f>
        <v>0</v>
      </c>
      <c r="AB34" s="44">
        <f>IF(AQ34="1",BH34,0)</f>
        <v>0</v>
      </c>
      <c r="AC34" s="44">
        <f>IF(AQ34="1",BI34,0)</f>
        <v>0</v>
      </c>
      <c r="AD34" s="44">
        <f>IF(AQ34="7",BH34,0)</f>
        <v>0</v>
      </c>
      <c r="AE34" s="44">
        <f>IF(AQ34="7",BI34,0)</f>
        <v>0</v>
      </c>
      <c r="AF34" s="44">
        <f>IF(AQ34="2",BH34,0)</f>
        <v>0</v>
      </c>
      <c r="AG34" s="44">
        <f>IF(AQ34="2",BI34,0)</f>
        <v>0</v>
      </c>
      <c r="AH34" s="44">
        <f>IF(AQ34="0",BJ34,0)</f>
        <v>0</v>
      </c>
      <c r="AI34" s="24"/>
      <c r="AJ34" s="44">
        <f>IF(AN34=0,L34,0)</f>
        <v>0</v>
      </c>
      <c r="AK34" s="44">
        <f>IF(AN34=15,L34,0)</f>
        <v>0</v>
      </c>
      <c r="AL34" s="44">
        <f>IF(AN34=21,L34,0)</f>
        <v>0</v>
      </c>
      <c r="AN34" s="44">
        <v>21</v>
      </c>
      <c r="AO34" s="44">
        <f>K34*0</f>
        <v>0</v>
      </c>
      <c r="AP34" s="44">
        <f>K34*(1-0)</f>
        <v>0</v>
      </c>
      <c r="AQ34" s="45" t="s">
        <v>49</v>
      </c>
      <c r="AV34" s="44">
        <f>AW34+AX34</f>
        <v>0</v>
      </c>
      <c r="AW34" s="44">
        <f>J34*AO34</f>
        <v>0</v>
      </c>
      <c r="AX34" s="44">
        <f>J34*AP34</f>
        <v>0</v>
      </c>
      <c r="AY34" s="45" t="s">
        <v>115</v>
      </c>
      <c r="AZ34" s="45" t="s">
        <v>55</v>
      </c>
      <c r="BA34" s="24" t="s">
        <v>56</v>
      </c>
      <c r="BC34" s="44">
        <f>AW34+AX34</f>
        <v>0</v>
      </c>
      <c r="BD34" s="44">
        <f>K34/(100-BE34)*100</f>
        <v>0</v>
      </c>
      <c r="BE34" s="44">
        <v>0</v>
      </c>
      <c r="BF34" s="44">
        <f>34</f>
        <v>34</v>
      </c>
      <c r="BH34" s="44">
        <f>J34*AO34</f>
        <v>0</v>
      </c>
      <c r="BI34" s="44">
        <f>J34*AP34</f>
        <v>0</v>
      </c>
      <c r="BJ34" s="44">
        <f>J34*K34</f>
        <v>0</v>
      </c>
      <c r="BK34" s="44" t="s">
        <v>57</v>
      </c>
      <c r="BL34" s="44">
        <v>18</v>
      </c>
    </row>
    <row r="35" spans="1:47" ht="19.5" customHeight="1">
      <c r="A35" s="46"/>
      <c r="B35" s="47" t="s">
        <v>120</v>
      </c>
      <c r="C35" s="47" t="s">
        <v>121</v>
      </c>
      <c r="D35" s="47"/>
      <c r="E35" s="47"/>
      <c r="F35" s="47"/>
      <c r="G35" s="47"/>
      <c r="H35" s="47"/>
      <c r="I35" s="48" t="s">
        <v>4</v>
      </c>
      <c r="J35" s="48" t="s">
        <v>4</v>
      </c>
      <c r="K35" s="48" t="s">
        <v>4</v>
      </c>
      <c r="L35" s="49">
        <f>SUM(L36:L37)</f>
        <v>0</v>
      </c>
      <c r="M35" s="50"/>
      <c r="N35" s="8"/>
      <c r="AI35" s="24"/>
      <c r="AS35" s="37">
        <f>SUM(AJ36:AJ37)</f>
        <v>0</v>
      </c>
      <c r="AT35" s="37">
        <f>SUM(AK36:AK37)</f>
        <v>0</v>
      </c>
      <c r="AU35" s="37">
        <f>SUM(AL36:AL37)</f>
        <v>0</v>
      </c>
    </row>
    <row r="36" spans="1:64" ht="19.5" customHeight="1">
      <c r="A36" s="38" t="s">
        <v>111</v>
      </c>
      <c r="B36" s="39" t="s">
        <v>122</v>
      </c>
      <c r="C36" s="39" t="s">
        <v>123</v>
      </c>
      <c r="D36" s="39"/>
      <c r="E36" s="39"/>
      <c r="F36" s="39"/>
      <c r="G36" s="39"/>
      <c r="H36" s="39"/>
      <c r="I36" s="39" t="s">
        <v>78</v>
      </c>
      <c r="J36" s="42">
        <v>27</v>
      </c>
      <c r="K36" s="41">
        <v>0</v>
      </c>
      <c r="L36" s="42">
        <f>J36*K36</f>
        <v>0</v>
      </c>
      <c r="M36" s="43" t="s">
        <v>53</v>
      </c>
      <c r="N36" s="8"/>
      <c r="Z36" s="44">
        <f>IF(AQ36="5",BJ36,0)</f>
        <v>0</v>
      </c>
      <c r="AB36" s="44">
        <f>IF(AQ36="1",BH36,0)</f>
        <v>0</v>
      </c>
      <c r="AC36" s="44">
        <f>IF(AQ36="1",BI36,0)</f>
        <v>0</v>
      </c>
      <c r="AD36" s="44">
        <f>IF(AQ36="7",BH36,0)</f>
        <v>0</v>
      </c>
      <c r="AE36" s="44">
        <f>IF(AQ36="7",BI36,0)</f>
        <v>0</v>
      </c>
      <c r="AF36" s="44">
        <f>IF(AQ36="2",BH36,0)</f>
        <v>0</v>
      </c>
      <c r="AG36" s="44">
        <f>IF(AQ36="2",BI36,0)</f>
        <v>0</v>
      </c>
      <c r="AH36" s="44">
        <f>IF(AQ36="0",BJ36,0)</f>
        <v>0</v>
      </c>
      <c r="AI36" s="24"/>
      <c r="AJ36" s="44">
        <f>IF(AN36=0,L36,0)</f>
        <v>0</v>
      </c>
      <c r="AK36" s="44">
        <f>IF(AN36=15,L36,0)</f>
        <v>0</v>
      </c>
      <c r="AL36" s="44">
        <f>IF(AN36=21,L36,0)</f>
        <v>0</v>
      </c>
      <c r="AN36" s="44">
        <v>21</v>
      </c>
      <c r="AO36" s="44">
        <f>K36*0.513735050597976</f>
        <v>0</v>
      </c>
      <c r="AP36" s="44">
        <f>K36*(1-0.513735050597976)</f>
        <v>0</v>
      </c>
      <c r="AQ36" s="45" t="s">
        <v>49</v>
      </c>
      <c r="AV36" s="44">
        <f>AW36+AX36</f>
        <v>0</v>
      </c>
      <c r="AW36" s="44">
        <f>J36*AO36</f>
        <v>0</v>
      </c>
      <c r="AX36" s="44">
        <f>J36*AP36</f>
        <v>0</v>
      </c>
      <c r="AY36" s="45" t="s">
        <v>124</v>
      </c>
      <c r="AZ36" s="45" t="s">
        <v>125</v>
      </c>
      <c r="BA36" s="24" t="s">
        <v>56</v>
      </c>
      <c r="BC36" s="44">
        <f>AW36+AX36</f>
        <v>0</v>
      </c>
      <c r="BD36" s="44">
        <f>K36/(100-BE36)*100</f>
        <v>0</v>
      </c>
      <c r="BE36" s="44">
        <v>0</v>
      </c>
      <c r="BF36" s="44">
        <f>36</f>
        <v>36</v>
      </c>
      <c r="BH36" s="44">
        <f>J36*AO36</f>
        <v>0</v>
      </c>
      <c r="BI36" s="44">
        <f>J36*AP36</f>
        <v>0</v>
      </c>
      <c r="BJ36" s="44">
        <f>J36*K36</f>
        <v>0</v>
      </c>
      <c r="BK36" s="44" t="s">
        <v>57</v>
      </c>
      <c r="BL36" s="44">
        <v>34</v>
      </c>
    </row>
    <row r="37" spans="1:64" ht="19.5" customHeight="1">
      <c r="A37" s="38" t="s">
        <v>126</v>
      </c>
      <c r="B37" s="39" t="s">
        <v>127</v>
      </c>
      <c r="C37" s="39" t="s">
        <v>128</v>
      </c>
      <c r="D37" s="39"/>
      <c r="E37" s="39"/>
      <c r="F37" s="39"/>
      <c r="G37" s="39"/>
      <c r="H37" s="39"/>
      <c r="I37" s="39" t="s">
        <v>129</v>
      </c>
      <c r="J37" s="42">
        <v>14</v>
      </c>
      <c r="K37" s="41">
        <v>0</v>
      </c>
      <c r="L37" s="42">
        <f>J37*K37</f>
        <v>0</v>
      </c>
      <c r="M37" s="43" t="s">
        <v>53</v>
      </c>
      <c r="N37" s="8"/>
      <c r="Z37" s="44">
        <f>IF(AQ37="5",BJ37,0)</f>
        <v>0</v>
      </c>
      <c r="AB37" s="44">
        <f>IF(AQ37="1",BH37,0)</f>
        <v>0</v>
      </c>
      <c r="AC37" s="44">
        <f>IF(AQ37="1",BI37,0)</f>
        <v>0</v>
      </c>
      <c r="AD37" s="44">
        <f>IF(AQ37="7",BH37,0)</f>
        <v>0</v>
      </c>
      <c r="AE37" s="44">
        <f>IF(AQ37="7",BI37,0)</f>
        <v>0</v>
      </c>
      <c r="AF37" s="44">
        <f>IF(AQ37="2",BH37,0)</f>
        <v>0</v>
      </c>
      <c r="AG37" s="44">
        <f>IF(AQ37="2",BI37,0)</f>
        <v>0</v>
      </c>
      <c r="AH37" s="44">
        <f>IF(AQ37="0",BJ37,0)</f>
        <v>0</v>
      </c>
      <c r="AI37" s="24"/>
      <c r="AJ37" s="44">
        <f>IF(AN37=0,L37,0)</f>
        <v>0</v>
      </c>
      <c r="AK37" s="44">
        <f>IF(AN37=15,L37,0)</f>
        <v>0</v>
      </c>
      <c r="AL37" s="44">
        <f>IF(AN37=21,L37,0)</f>
        <v>0</v>
      </c>
      <c r="AN37" s="44">
        <v>21</v>
      </c>
      <c r="AO37" s="44">
        <f>K37*0.429654761904762</f>
        <v>0</v>
      </c>
      <c r="AP37" s="44">
        <f>K37*(1-0.429654761904762)</f>
        <v>0</v>
      </c>
      <c r="AQ37" s="45" t="s">
        <v>49</v>
      </c>
      <c r="AV37" s="44">
        <f>AW37+AX37</f>
        <v>0</v>
      </c>
      <c r="AW37" s="44">
        <f>J37*AO37</f>
        <v>0</v>
      </c>
      <c r="AX37" s="44">
        <f>J37*AP37</f>
        <v>0</v>
      </c>
      <c r="AY37" s="45" t="s">
        <v>124</v>
      </c>
      <c r="AZ37" s="45" t="s">
        <v>125</v>
      </c>
      <c r="BA37" s="24" t="s">
        <v>56</v>
      </c>
      <c r="BC37" s="44">
        <f>AW37+AX37</f>
        <v>0</v>
      </c>
      <c r="BD37" s="44">
        <f>K37/(100-BE37)*100</f>
        <v>0</v>
      </c>
      <c r="BE37" s="44">
        <v>0</v>
      </c>
      <c r="BF37" s="44">
        <f>37</f>
        <v>37</v>
      </c>
      <c r="BH37" s="44">
        <f>J37*AO37</f>
        <v>0</v>
      </c>
      <c r="BI37" s="44">
        <f>J37*AP37</f>
        <v>0</v>
      </c>
      <c r="BJ37" s="44">
        <f>J37*K37</f>
        <v>0</v>
      </c>
      <c r="BK37" s="44" t="s">
        <v>57</v>
      </c>
      <c r="BL37" s="44">
        <v>34</v>
      </c>
    </row>
    <row r="38" spans="1:47" ht="19.5" customHeight="1">
      <c r="A38" s="46"/>
      <c r="B38" s="47" t="s">
        <v>130</v>
      </c>
      <c r="C38" s="47" t="s">
        <v>131</v>
      </c>
      <c r="D38" s="47"/>
      <c r="E38" s="47"/>
      <c r="F38" s="47"/>
      <c r="G38" s="47"/>
      <c r="H38" s="47"/>
      <c r="I38" s="48" t="s">
        <v>4</v>
      </c>
      <c r="J38" s="48" t="s">
        <v>4</v>
      </c>
      <c r="K38" s="48" t="s">
        <v>4</v>
      </c>
      <c r="L38" s="49">
        <f>SUM(L39:L39)</f>
        <v>0</v>
      </c>
      <c r="M38" s="50"/>
      <c r="N38" s="8"/>
      <c r="AI38" s="24"/>
      <c r="AS38" s="37">
        <f>SUM(AJ39:AJ39)</f>
        <v>0</v>
      </c>
      <c r="AT38" s="37">
        <f>SUM(AK39:AK39)</f>
        <v>0</v>
      </c>
      <c r="AU38" s="37">
        <f>SUM(AL39:AL39)</f>
        <v>0</v>
      </c>
    </row>
    <row r="39" spans="1:64" ht="19.5" customHeight="1">
      <c r="A39" s="38" t="s">
        <v>132</v>
      </c>
      <c r="B39" s="39" t="s">
        <v>133</v>
      </c>
      <c r="C39" s="39" t="s">
        <v>134</v>
      </c>
      <c r="D39" s="39"/>
      <c r="E39" s="39"/>
      <c r="F39" s="39"/>
      <c r="G39" s="39"/>
      <c r="H39" s="39"/>
      <c r="I39" s="39" t="s">
        <v>78</v>
      </c>
      <c r="J39" s="42">
        <v>30</v>
      </c>
      <c r="K39" s="41">
        <v>0</v>
      </c>
      <c r="L39" s="42">
        <f>J39*K39</f>
        <v>0</v>
      </c>
      <c r="M39" s="43" t="s">
        <v>53</v>
      </c>
      <c r="N39" s="8"/>
      <c r="Z39" s="44">
        <f>IF(AQ39="5",BJ39,0)</f>
        <v>0</v>
      </c>
      <c r="AB39" s="44">
        <f>IF(AQ39="1",BH39,0)</f>
        <v>0</v>
      </c>
      <c r="AC39" s="44">
        <f>IF(AQ39="1",BI39,0)</f>
        <v>0</v>
      </c>
      <c r="AD39" s="44">
        <f>IF(AQ39="7",BH39,0)</f>
        <v>0</v>
      </c>
      <c r="AE39" s="44">
        <f>IF(AQ39="7",BI39,0)</f>
        <v>0</v>
      </c>
      <c r="AF39" s="44">
        <f>IF(AQ39="2",BH39,0)</f>
        <v>0</v>
      </c>
      <c r="AG39" s="44">
        <f>IF(AQ39="2",BI39,0)</f>
        <v>0</v>
      </c>
      <c r="AH39" s="44">
        <f>IF(AQ39="0",BJ39,0)</f>
        <v>0</v>
      </c>
      <c r="AI39" s="24"/>
      <c r="AJ39" s="44">
        <f>IF(AN39=0,L39,0)</f>
        <v>0</v>
      </c>
      <c r="AK39" s="44">
        <f>IF(AN39=15,L39,0)</f>
        <v>0</v>
      </c>
      <c r="AL39" s="44">
        <f>IF(AN39=21,L39,0)</f>
        <v>0</v>
      </c>
      <c r="AN39" s="44">
        <v>21</v>
      </c>
      <c r="AO39" s="44">
        <f>K39*0.106221744368304</f>
        <v>0</v>
      </c>
      <c r="AP39" s="44">
        <f>K39*(1-0.106221744368304)</f>
        <v>0</v>
      </c>
      <c r="AQ39" s="45" t="s">
        <v>49</v>
      </c>
      <c r="AV39" s="44">
        <f>AW39+AX39</f>
        <v>0</v>
      </c>
      <c r="AW39" s="44">
        <f>J39*AO39</f>
        <v>0</v>
      </c>
      <c r="AX39" s="44">
        <f>J39*AP39</f>
        <v>0</v>
      </c>
      <c r="AY39" s="45" t="s">
        <v>135</v>
      </c>
      <c r="AZ39" s="45" t="s">
        <v>136</v>
      </c>
      <c r="BA39" s="24" t="s">
        <v>56</v>
      </c>
      <c r="BC39" s="44">
        <f>AW39+AX39</f>
        <v>0</v>
      </c>
      <c r="BD39" s="44">
        <f>K39/(100-BE39)*100</f>
        <v>0</v>
      </c>
      <c r="BE39" s="44">
        <v>0</v>
      </c>
      <c r="BF39" s="44">
        <f>39</f>
        <v>39</v>
      </c>
      <c r="BH39" s="44">
        <f>J39*AO39</f>
        <v>0</v>
      </c>
      <c r="BI39" s="44">
        <f>J39*AP39</f>
        <v>0</v>
      </c>
      <c r="BJ39" s="44">
        <f>J39*K39</f>
        <v>0</v>
      </c>
      <c r="BK39" s="44" t="s">
        <v>57</v>
      </c>
      <c r="BL39" s="44">
        <v>61</v>
      </c>
    </row>
    <row r="40" spans="1:47" ht="19.5" customHeight="1">
      <c r="A40" s="46"/>
      <c r="B40" s="47" t="s">
        <v>137</v>
      </c>
      <c r="C40" s="47" t="s">
        <v>138</v>
      </c>
      <c r="D40" s="47"/>
      <c r="E40" s="47"/>
      <c r="F40" s="47"/>
      <c r="G40" s="47"/>
      <c r="H40" s="47"/>
      <c r="I40" s="48" t="s">
        <v>4</v>
      </c>
      <c r="J40" s="48" t="s">
        <v>4</v>
      </c>
      <c r="K40" s="48" t="s">
        <v>4</v>
      </c>
      <c r="L40" s="49">
        <f>SUM(L41:L42)</f>
        <v>0</v>
      </c>
      <c r="M40" s="50"/>
      <c r="N40" s="8"/>
      <c r="AI40" s="24"/>
      <c r="AS40" s="37">
        <f>SUM(AJ41:AJ42)</f>
        <v>0</v>
      </c>
      <c r="AT40" s="37">
        <f>SUM(AK41:AK42)</f>
        <v>0</v>
      </c>
      <c r="AU40" s="37">
        <f>SUM(AL41:AL42)</f>
        <v>0</v>
      </c>
    </row>
    <row r="41" spans="1:64" ht="19.5" customHeight="1">
      <c r="A41" s="38" t="s">
        <v>139</v>
      </c>
      <c r="B41" s="39" t="s">
        <v>140</v>
      </c>
      <c r="C41" s="39" t="s">
        <v>141</v>
      </c>
      <c r="D41" s="39"/>
      <c r="E41" s="39"/>
      <c r="F41" s="39"/>
      <c r="G41" s="39"/>
      <c r="H41" s="39"/>
      <c r="I41" s="39" t="s">
        <v>52</v>
      </c>
      <c r="J41" s="42">
        <v>7.488</v>
      </c>
      <c r="K41" s="41">
        <v>0</v>
      </c>
      <c r="L41" s="42">
        <f>J41*K41</f>
        <v>0</v>
      </c>
      <c r="M41" s="43" t="s">
        <v>53</v>
      </c>
      <c r="N41" s="8"/>
      <c r="Z41" s="44">
        <f>IF(AQ41="5",BJ41,0)</f>
        <v>0</v>
      </c>
      <c r="AB41" s="44">
        <f>IF(AQ41="1",BH41,0)</f>
        <v>0</v>
      </c>
      <c r="AC41" s="44">
        <f>IF(AQ41="1",BI41,0)</f>
        <v>0</v>
      </c>
      <c r="AD41" s="44">
        <f>IF(AQ41="7",BH41,0)</f>
        <v>0</v>
      </c>
      <c r="AE41" s="44">
        <f>IF(AQ41="7",BI41,0)</f>
        <v>0</v>
      </c>
      <c r="AF41" s="44">
        <f>IF(AQ41="2",BH41,0)</f>
        <v>0</v>
      </c>
      <c r="AG41" s="44">
        <f>IF(AQ41="2",BI41,0)</f>
        <v>0</v>
      </c>
      <c r="AH41" s="44">
        <f>IF(AQ41="0",BJ41,0)</f>
        <v>0</v>
      </c>
      <c r="AI41" s="24"/>
      <c r="AJ41" s="44">
        <f>IF(AN41=0,L41,0)</f>
        <v>0</v>
      </c>
      <c r="AK41" s="44">
        <f>IF(AN41=15,L41,0)</f>
        <v>0</v>
      </c>
      <c r="AL41" s="44">
        <f>IF(AN41=21,L41,0)</f>
        <v>0</v>
      </c>
      <c r="AN41" s="44">
        <v>21</v>
      </c>
      <c r="AO41" s="44">
        <f>K41*0.752214716525935</f>
        <v>0</v>
      </c>
      <c r="AP41" s="44">
        <f>K41*(1-0.752214716525935)</f>
        <v>0</v>
      </c>
      <c r="AQ41" s="45" t="s">
        <v>49</v>
      </c>
      <c r="AV41" s="44">
        <f>AW41+AX41</f>
        <v>0</v>
      </c>
      <c r="AW41" s="44">
        <f>J41*AO41</f>
        <v>0</v>
      </c>
      <c r="AX41" s="44">
        <f>J41*AP41</f>
        <v>0</v>
      </c>
      <c r="AY41" s="45" t="s">
        <v>142</v>
      </c>
      <c r="AZ41" s="45" t="s">
        <v>136</v>
      </c>
      <c r="BA41" s="24" t="s">
        <v>56</v>
      </c>
      <c r="BC41" s="44">
        <f>AW41+AX41</f>
        <v>0</v>
      </c>
      <c r="BD41" s="44">
        <f>K41/(100-BE41)*100</f>
        <v>0</v>
      </c>
      <c r="BE41" s="44">
        <v>0</v>
      </c>
      <c r="BF41" s="44">
        <f>41</f>
        <v>41</v>
      </c>
      <c r="BH41" s="44">
        <f>J41*AO41</f>
        <v>0</v>
      </c>
      <c r="BI41" s="44">
        <f>J41*AP41</f>
        <v>0</v>
      </c>
      <c r="BJ41" s="44">
        <f>J41*K41</f>
        <v>0</v>
      </c>
      <c r="BK41" s="44" t="s">
        <v>57</v>
      </c>
      <c r="BL41" s="44">
        <v>63</v>
      </c>
    </row>
    <row r="42" spans="1:64" ht="19.5" customHeight="1">
      <c r="A42" s="38" t="s">
        <v>143</v>
      </c>
      <c r="B42" s="39" t="s">
        <v>144</v>
      </c>
      <c r="C42" s="39" t="s">
        <v>145</v>
      </c>
      <c r="D42" s="39"/>
      <c r="E42" s="39"/>
      <c r="F42" s="39"/>
      <c r="G42" s="39"/>
      <c r="H42" s="39"/>
      <c r="I42" s="39" t="s">
        <v>99</v>
      </c>
      <c r="J42" s="42">
        <v>0.405</v>
      </c>
      <c r="K42" s="41">
        <v>0</v>
      </c>
      <c r="L42" s="42">
        <f>J42*K42</f>
        <v>0</v>
      </c>
      <c r="M42" s="43" t="s">
        <v>53</v>
      </c>
      <c r="N42" s="8"/>
      <c r="Z42" s="44">
        <f>IF(AQ42="5",BJ42,0)</f>
        <v>0</v>
      </c>
      <c r="AB42" s="44">
        <f>IF(AQ42="1",BH42,0)</f>
        <v>0</v>
      </c>
      <c r="AC42" s="44">
        <f>IF(AQ42="1",BI42,0)</f>
        <v>0</v>
      </c>
      <c r="AD42" s="44">
        <f>IF(AQ42="7",BH42,0)</f>
        <v>0</v>
      </c>
      <c r="AE42" s="44">
        <f>IF(AQ42="7",BI42,0)</f>
        <v>0</v>
      </c>
      <c r="AF42" s="44">
        <f>IF(AQ42="2",BH42,0)</f>
        <v>0</v>
      </c>
      <c r="AG42" s="44">
        <f>IF(AQ42="2",BI42,0)</f>
        <v>0</v>
      </c>
      <c r="AH42" s="44">
        <f>IF(AQ42="0",BJ42,0)</f>
        <v>0</v>
      </c>
      <c r="AI42" s="24"/>
      <c r="AJ42" s="44">
        <f>IF(AN42=0,L42,0)</f>
        <v>0</v>
      </c>
      <c r="AK42" s="44">
        <f>IF(AN42=15,L42,0)</f>
        <v>0</v>
      </c>
      <c r="AL42" s="44">
        <f>IF(AN42=21,L42,0)</f>
        <v>0</v>
      </c>
      <c r="AN42" s="44">
        <v>21</v>
      </c>
      <c r="AO42" s="44">
        <f>K42*0.905593370819769</f>
        <v>0</v>
      </c>
      <c r="AP42" s="44">
        <f>K42*(1-0.905593370819769)</f>
        <v>0</v>
      </c>
      <c r="AQ42" s="45" t="s">
        <v>49</v>
      </c>
      <c r="AV42" s="44">
        <f>AW42+AX42</f>
        <v>0</v>
      </c>
      <c r="AW42" s="44">
        <f>J42*AO42</f>
        <v>0</v>
      </c>
      <c r="AX42" s="44">
        <f>J42*AP42</f>
        <v>0</v>
      </c>
      <c r="AY42" s="45" t="s">
        <v>142</v>
      </c>
      <c r="AZ42" s="45" t="s">
        <v>136</v>
      </c>
      <c r="BA42" s="24" t="s">
        <v>56</v>
      </c>
      <c r="BC42" s="44">
        <f>AW42+AX42</f>
        <v>0</v>
      </c>
      <c r="BD42" s="44">
        <f>K42/(100-BE42)*100</f>
        <v>0</v>
      </c>
      <c r="BE42" s="44">
        <v>0</v>
      </c>
      <c r="BF42" s="44">
        <f>42</f>
        <v>42</v>
      </c>
      <c r="BH42" s="44">
        <f>J42*AO42</f>
        <v>0</v>
      </c>
      <c r="BI42" s="44">
        <f>J42*AP42</f>
        <v>0</v>
      </c>
      <c r="BJ42" s="44">
        <f>J42*K42</f>
        <v>0</v>
      </c>
      <c r="BK42" s="44" t="s">
        <v>57</v>
      </c>
      <c r="BL42" s="44">
        <v>63</v>
      </c>
    </row>
    <row r="43" spans="1:47" ht="19.5" customHeight="1">
      <c r="A43" s="46"/>
      <c r="B43" s="47" t="s">
        <v>146</v>
      </c>
      <c r="C43" s="47" t="s">
        <v>147</v>
      </c>
      <c r="D43" s="47"/>
      <c r="E43" s="47"/>
      <c r="F43" s="47"/>
      <c r="G43" s="47"/>
      <c r="H43" s="47"/>
      <c r="I43" s="48" t="s">
        <v>4</v>
      </c>
      <c r="J43" s="48" t="s">
        <v>4</v>
      </c>
      <c r="K43" s="48" t="s">
        <v>4</v>
      </c>
      <c r="L43" s="49">
        <f>SUM(L44:L44)</f>
        <v>0</v>
      </c>
      <c r="M43" s="50"/>
      <c r="N43" s="8"/>
      <c r="AI43" s="24"/>
      <c r="AS43" s="37">
        <f>SUM(AJ44:AJ44)</f>
        <v>0</v>
      </c>
      <c r="AT43" s="37">
        <f>SUM(AK44:AK44)</f>
        <v>0</v>
      </c>
      <c r="AU43" s="37">
        <f>SUM(AL44:AL44)</f>
        <v>0</v>
      </c>
    </row>
    <row r="44" spans="1:64" ht="19.5" customHeight="1">
      <c r="A44" s="38" t="s">
        <v>148</v>
      </c>
      <c r="B44" s="39" t="s">
        <v>149</v>
      </c>
      <c r="C44" s="39" t="s">
        <v>150</v>
      </c>
      <c r="D44" s="39"/>
      <c r="E44" s="39"/>
      <c r="F44" s="39"/>
      <c r="G44" s="39"/>
      <c r="H44" s="39"/>
      <c r="I44" s="39" t="s">
        <v>78</v>
      </c>
      <c r="J44" s="42">
        <v>86.4</v>
      </c>
      <c r="K44" s="41">
        <v>0</v>
      </c>
      <c r="L44" s="42">
        <f>J44*K44</f>
        <v>0</v>
      </c>
      <c r="M44" s="43" t="s">
        <v>53</v>
      </c>
      <c r="N44" s="8"/>
      <c r="Z44" s="44">
        <f>IF(AQ44="5",BJ44,0)</f>
        <v>0</v>
      </c>
      <c r="AB44" s="44">
        <f>IF(AQ44="1",BH44,0)</f>
        <v>0</v>
      </c>
      <c r="AC44" s="44">
        <f>IF(AQ44="1",BI44,0)</f>
        <v>0</v>
      </c>
      <c r="AD44" s="44">
        <f>IF(AQ44="7",BH44,0)</f>
        <v>0</v>
      </c>
      <c r="AE44" s="44">
        <f>IF(AQ44="7",BI44,0)</f>
        <v>0</v>
      </c>
      <c r="AF44" s="44">
        <f>IF(AQ44="2",BH44,0)</f>
        <v>0</v>
      </c>
      <c r="AG44" s="44">
        <f>IF(AQ44="2",BI44,0)</f>
        <v>0</v>
      </c>
      <c r="AH44" s="44">
        <f>IF(AQ44="0",BJ44,0)</f>
        <v>0</v>
      </c>
      <c r="AI44" s="24"/>
      <c r="AJ44" s="44">
        <f>IF(AN44=0,L44,0)</f>
        <v>0</v>
      </c>
      <c r="AK44" s="44">
        <f>IF(AN44=15,L44,0)</f>
        <v>0</v>
      </c>
      <c r="AL44" s="44">
        <f>IF(AN44=21,L44,0)</f>
        <v>0</v>
      </c>
      <c r="AN44" s="44">
        <v>21</v>
      </c>
      <c r="AO44" s="44">
        <f>K44*0.538424928384162</f>
        <v>0</v>
      </c>
      <c r="AP44" s="44">
        <f>K44*(1-0.538424928384162)</f>
        <v>0</v>
      </c>
      <c r="AQ44" s="45" t="s">
        <v>80</v>
      </c>
      <c r="AV44" s="44">
        <f>AW44+AX44</f>
        <v>0</v>
      </c>
      <c r="AW44" s="44">
        <f>J44*AO44</f>
        <v>0</v>
      </c>
      <c r="AX44" s="44">
        <f>J44*AP44</f>
        <v>0</v>
      </c>
      <c r="AY44" s="45" t="s">
        <v>151</v>
      </c>
      <c r="AZ44" s="45" t="s">
        <v>152</v>
      </c>
      <c r="BA44" s="24" t="s">
        <v>56</v>
      </c>
      <c r="BC44" s="44">
        <f>AW44+AX44</f>
        <v>0</v>
      </c>
      <c r="BD44" s="44">
        <f>K44/(100-BE44)*100</f>
        <v>0</v>
      </c>
      <c r="BE44" s="44">
        <v>0</v>
      </c>
      <c r="BF44" s="44">
        <f>44</f>
        <v>44</v>
      </c>
      <c r="BH44" s="44">
        <f>J44*AO44</f>
        <v>0</v>
      </c>
      <c r="BI44" s="44">
        <f>J44*AP44</f>
        <v>0</v>
      </c>
      <c r="BJ44" s="44">
        <f>J44*K44</f>
        <v>0</v>
      </c>
      <c r="BK44" s="44" t="s">
        <v>57</v>
      </c>
      <c r="BL44" s="44">
        <v>711</v>
      </c>
    </row>
    <row r="45" spans="1:47" ht="19.5" customHeight="1">
      <c r="A45" s="46"/>
      <c r="B45" s="47" t="s">
        <v>153</v>
      </c>
      <c r="C45" s="47" t="s">
        <v>154</v>
      </c>
      <c r="D45" s="47"/>
      <c r="E45" s="47"/>
      <c r="F45" s="47"/>
      <c r="G45" s="47"/>
      <c r="H45" s="47"/>
      <c r="I45" s="48" t="s">
        <v>4</v>
      </c>
      <c r="J45" s="48" t="s">
        <v>4</v>
      </c>
      <c r="K45" s="48" t="s">
        <v>4</v>
      </c>
      <c r="L45" s="49">
        <f>SUM(L46:L61)</f>
        <v>0</v>
      </c>
      <c r="M45" s="50"/>
      <c r="N45" s="8"/>
      <c r="AI45" s="24"/>
      <c r="AS45" s="37">
        <f>SUM(AJ46:AJ61)</f>
        <v>0</v>
      </c>
      <c r="AT45" s="37">
        <f>SUM(AK46:AK61)</f>
        <v>0</v>
      </c>
      <c r="AU45" s="37">
        <f>SUM(AL46:AL61)</f>
        <v>0</v>
      </c>
    </row>
    <row r="46" spans="1:64" ht="19.5" customHeight="1">
      <c r="A46" s="38" t="s">
        <v>155</v>
      </c>
      <c r="B46" s="39" t="s">
        <v>156</v>
      </c>
      <c r="C46" s="39" t="s">
        <v>157</v>
      </c>
      <c r="D46" s="39"/>
      <c r="E46" s="39"/>
      <c r="F46" s="39"/>
      <c r="G46" s="39"/>
      <c r="H46" s="39"/>
      <c r="I46" s="39" t="s">
        <v>158</v>
      </c>
      <c r="J46" s="42">
        <v>192</v>
      </c>
      <c r="K46" s="41">
        <v>0</v>
      </c>
      <c r="L46" s="42">
        <f aca="true" t="shared" si="0" ref="L46:L61">J46*K46</f>
        <v>0</v>
      </c>
      <c r="M46" s="43" t="s">
        <v>53</v>
      </c>
      <c r="N46" s="8"/>
      <c r="Z46" s="44">
        <f aca="true" t="shared" si="1" ref="Z46:Z61">IF(AQ46="5",BJ46,0)</f>
        <v>0</v>
      </c>
      <c r="AB46" s="44">
        <f aca="true" t="shared" si="2" ref="AB46:AB61">IF(AQ46="1",BH46,0)</f>
        <v>0</v>
      </c>
      <c r="AC46" s="44">
        <f aca="true" t="shared" si="3" ref="AC46:AC61">IF(AQ46="1",BI46,0)</f>
        <v>0</v>
      </c>
      <c r="AD46" s="44">
        <f aca="true" t="shared" si="4" ref="AD46:AD61">IF(AQ46="7",BH46,0)</f>
        <v>0</v>
      </c>
      <c r="AE46" s="44">
        <f aca="true" t="shared" si="5" ref="AE46:AE61">IF(AQ46="7",BI46,0)</f>
        <v>0</v>
      </c>
      <c r="AF46" s="44">
        <f aca="true" t="shared" si="6" ref="AF46:AF61">IF(AQ46="2",BH46,0)</f>
        <v>0</v>
      </c>
      <c r="AG46" s="44">
        <f aca="true" t="shared" si="7" ref="AG46:AG61">IF(AQ46="2",BI46,0)</f>
        <v>0</v>
      </c>
      <c r="AH46" s="44">
        <f aca="true" t="shared" si="8" ref="AH46:AH61">IF(AQ46="0",BJ46,0)</f>
        <v>0</v>
      </c>
      <c r="AI46" s="24"/>
      <c r="AJ46" s="44">
        <f aca="true" t="shared" si="9" ref="AJ46:AJ61">IF(AN46=0,L46,0)</f>
        <v>0</v>
      </c>
      <c r="AK46" s="44">
        <f aca="true" t="shared" si="10" ref="AK46:AK61">IF(AN46=15,L46,0)</f>
        <v>0</v>
      </c>
      <c r="AL46" s="44">
        <f aca="true" t="shared" si="11" ref="AL46:AL61">IF(AN46=21,L46,0)</f>
        <v>0</v>
      </c>
      <c r="AN46" s="44">
        <v>21</v>
      </c>
      <c r="AO46" s="44">
        <f>K46*0</f>
        <v>0</v>
      </c>
      <c r="AP46" s="44">
        <f>K46*(1-0)</f>
        <v>0</v>
      </c>
      <c r="AQ46" s="45" t="s">
        <v>80</v>
      </c>
      <c r="AV46" s="44">
        <f aca="true" t="shared" si="12" ref="AV46:AV61">AW46+AX46</f>
        <v>0</v>
      </c>
      <c r="AW46" s="44">
        <f aca="true" t="shared" si="13" ref="AW46:AW61">J46*AO46</f>
        <v>0</v>
      </c>
      <c r="AX46" s="44">
        <f aca="true" t="shared" si="14" ref="AX46:AX61">J46*AP46</f>
        <v>0</v>
      </c>
      <c r="AY46" s="45" t="s">
        <v>159</v>
      </c>
      <c r="AZ46" s="45" t="s">
        <v>160</v>
      </c>
      <c r="BA46" s="24" t="s">
        <v>56</v>
      </c>
      <c r="BC46" s="44">
        <f aca="true" t="shared" si="15" ref="BC46:BC61">AW46+AX46</f>
        <v>0</v>
      </c>
      <c r="BD46" s="44">
        <f aca="true" t="shared" si="16" ref="BD46:BD61">K46/(100-BE46)*100</f>
        <v>0</v>
      </c>
      <c r="BE46" s="44">
        <v>0</v>
      </c>
      <c r="BF46" s="44">
        <f>46</f>
        <v>46</v>
      </c>
      <c r="BH46" s="44">
        <f aca="true" t="shared" si="17" ref="BH46:BH61">J46*AO46</f>
        <v>0</v>
      </c>
      <c r="BI46" s="44">
        <f aca="true" t="shared" si="18" ref="BI46:BI61">J46*AP46</f>
        <v>0</v>
      </c>
      <c r="BJ46" s="44">
        <f aca="true" t="shared" si="19" ref="BJ46:BJ61">J46*K46</f>
        <v>0</v>
      </c>
      <c r="BK46" s="44" t="s">
        <v>57</v>
      </c>
      <c r="BL46" s="44">
        <v>721</v>
      </c>
    </row>
    <row r="47" spans="1:64" ht="19.5" customHeight="1">
      <c r="A47" s="38" t="s">
        <v>161</v>
      </c>
      <c r="B47" s="39" t="s">
        <v>162</v>
      </c>
      <c r="C47" s="39" t="s">
        <v>163</v>
      </c>
      <c r="D47" s="39"/>
      <c r="E47" s="39"/>
      <c r="F47" s="39"/>
      <c r="G47" s="39"/>
      <c r="H47" s="39"/>
      <c r="I47" s="39" t="s">
        <v>158</v>
      </c>
      <c r="J47" s="42">
        <v>46</v>
      </c>
      <c r="K47" s="41">
        <v>0</v>
      </c>
      <c r="L47" s="42">
        <f t="shared" si="0"/>
        <v>0</v>
      </c>
      <c r="M47" s="43" t="s">
        <v>53</v>
      </c>
      <c r="N47" s="8"/>
      <c r="Z47" s="44">
        <f t="shared" si="1"/>
        <v>0</v>
      </c>
      <c r="AB47" s="44">
        <f t="shared" si="2"/>
        <v>0</v>
      </c>
      <c r="AC47" s="44">
        <f t="shared" si="3"/>
        <v>0</v>
      </c>
      <c r="AD47" s="44">
        <f t="shared" si="4"/>
        <v>0</v>
      </c>
      <c r="AE47" s="44">
        <f t="shared" si="5"/>
        <v>0</v>
      </c>
      <c r="AF47" s="44">
        <f t="shared" si="6"/>
        <v>0</v>
      </c>
      <c r="AG47" s="44">
        <f t="shared" si="7"/>
        <v>0</v>
      </c>
      <c r="AH47" s="44">
        <f t="shared" si="8"/>
        <v>0</v>
      </c>
      <c r="AI47" s="24"/>
      <c r="AJ47" s="44">
        <f t="shared" si="9"/>
        <v>0</v>
      </c>
      <c r="AK47" s="44">
        <f t="shared" si="10"/>
        <v>0</v>
      </c>
      <c r="AL47" s="44">
        <f t="shared" si="11"/>
        <v>0</v>
      </c>
      <c r="AN47" s="44">
        <v>21</v>
      </c>
      <c r="AO47" s="44">
        <f>K47*0.45781193640576</f>
        <v>0</v>
      </c>
      <c r="AP47" s="44">
        <f>K47*(1-0.45781193640576)</f>
        <v>0</v>
      </c>
      <c r="AQ47" s="45" t="s">
        <v>80</v>
      </c>
      <c r="AV47" s="44">
        <f t="shared" si="12"/>
        <v>0</v>
      </c>
      <c r="AW47" s="44">
        <f t="shared" si="13"/>
        <v>0</v>
      </c>
      <c r="AX47" s="44">
        <f t="shared" si="14"/>
        <v>0</v>
      </c>
      <c r="AY47" s="45" t="s">
        <v>159</v>
      </c>
      <c r="AZ47" s="45" t="s">
        <v>160</v>
      </c>
      <c r="BA47" s="24" t="s">
        <v>56</v>
      </c>
      <c r="BC47" s="44">
        <f t="shared" si="15"/>
        <v>0</v>
      </c>
      <c r="BD47" s="44">
        <f t="shared" si="16"/>
        <v>0</v>
      </c>
      <c r="BE47" s="44">
        <v>0</v>
      </c>
      <c r="BF47" s="44">
        <f>47</f>
        <v>47</v>
      </c>
      <c r="BH47" s="44">
        <f t="shared" si="17"/>
        <v>0</v>
      </c>
      <c r="BI47" s="44">
        <f t="shared" si="18"/>
        <v>0</v>
      </c>
      <c r="BJ47" s="44">
        <f t="shared" si="19"/>
        <v>0</v>
      </c>
      <c r="BK47" s="44" t="s">
        <v>57</v>
      </c>
      <c r="BL47" s="44">
        <v>721</v>
      </c>
    </row>
    <row r="48" spans="1:64" ht="19.5" customHeight="1">
      <c r="A48" s="38" t="s">
        <v>164</v>
      </c>
      <c r="B48" s="39" t="s">
        <v>165</v>
      </c>
      <c r="C48" s="39" t="s">
        <v>166</v>
      </c>
      <c r="D48" s="39"/>
      <c r="E48" s="39"/>
      <c r="F48" s="39"/>
      <c r="G48" s="39"/>
      <c r="H48" s="39"/>
      <c r="I48" s="39" t="s">
        <v>158</v>
      </c>
      <c r="J48" s="42">
        <v>60</v>
      </c>
      <c r="K48" s="41">
        <v>0</v>
      </c>
      <c r="L48" s="42">
        <f t="shared" si="0"/>
        <v>0</v>
      </c>
      <c r="M48" s="43" t="s">
        <v>53</v>
      </c>
      <c r="N48" s="8"/>
      <c r="Z48" s="44">
        <f t="shared" si="1"/>
        <v>0</v>
      </c>
      <c r="AB48" s="44">
        <f t="shared" si="2"/>
        <v>0</v>
      </c>
      <c r="AC48" s="44">
        <f t="shared" si="3"/>
        <v>0</v>
      </c>
      <c r="AD48" s="44">
        <f t="shared" si="4"/>
        <v>0</v>
      </c>
      <c r="AE48" s="44">
        <f t="shared" si="5"/>
        <v>0</v>
      </c>
      <c r="AF48" s="44">
        <f t="shared" si="6"/>
        <v>0</v>
      </c>
      <c r="AG48" s="44">
        <f t="shared" si="7"/>
        <v>0</v>
      </c>
      <c r="AH48" s="44">
        <f t="shared" si="8"/>
        <v>0</v>
      </c>
      <c r="AI48" s="24"/>
      <c r="AJ48" s="44">
        <f t="shared" si="9"/>
        <v>0</v>
      </c>
      <c r="AK48" s="44">
        <f t="shared" si="10"/>
        <v>0</v>
      </c>
      <c r="AL48" s="44">
        <f t="shared" si="11"/>
        <v>0</v>
      </c>
      <c r="AN48" s="44">
        <v>21</v>
      </c>
      <c r="AO48" s="44">
        <f>K48*0.447939317319848</f>
        <v>0</v>
      </c>
      <c r="AP48" s="44">
        <f>K48*(1-0.447939317319848)</f>
        <v>0</v>
      </c>
      <c r="AQ48" s="45" t="s">
        <v>80</v>
      </c>
      <c r="AV48" s="44">
        <f t="shared" si="12"/>
        <v>0</v>
      </c>
      <c r="AW48" s="44">
        <f t="shared" si="13"/>
        <v>0</v>
      </c>
      <c r="AX48" s="44">
        <f t="shared" si="14"/>
        <v>0</v>
      </c>
      <c r="AY48" s="45" t="s">
        <v>159</v>
      </c>
      <c r="AZ48" s="45" t="s">
        <v>160</v>
      </c>
      <c r="BA48" s="24" t="s">
        <v>56</v>
      </c>
      <c r="BC48" s="44">
        <f t="shared" si="15"/>
        <v>0</v>
      </c>
      <c r="BD48" s="44">
        <f t="shared" si="16"/>
        <v>0</v>
      </c>
      <c r="BE48" s="44">
        <v>0</v>
      </c>
      <c r="BF48" s="44">
        <f>48</f>
        <v>48</v>
      </c>
      <c r="BH48" s="44">
        <f t="shared" si="17"/>
        <v>0</v>
      </c>
      <c r="BI48" s="44">
        <f t="shared" si="18"/>
        <v>0</v>
      </c>
      <c r="BJ48" s="44">
        <f t="shared" si="19"/>
        <v>0</v>
      </c>
      <c r="BK48" s="44" t="s">
        <v>57</v>
      </c>
      <c r="BL48" s="44">
        <v>721</v>
      </c>
    </row>
    <row r="49" spans="1:64" ht="19.5" customHeight="1">
      <c r="A49" s="38" t="s">
        <v>167</v>
      </c>
      <c r="B49" s="39" t="s">
        <v>168</v>
      </c>
      <c r="C49" s="39" t="s">
        <v>169</v>
      </c>
      <c r="D49" s="39"/>
      <c r="E49" s="39"/>
      <c r="F49" s="39"/>
      <c r="G49" s="39"/>
      <c r="H49" s="39"/>
      <c r="I49" s="39" t="s">
        <v>170</v>
      </c>
      <c r="J49" s="42">
        <v>2</v>
      </c>
      <c r="K49" s="41">
        <v>0</v>
      </c>
      <c r="L49" s="42">
        <f t="shared" si="0"/>
        <v>0</v>
      </c>
      <c r="M49" s="43" t="s">
        <v>53</v>
      </c>
      <c r="N49" s="8"/>
      <c r="Z49" s="44">
        <f t="shared" si="1"/>
        <v>0</v>
      </c>
      <c r="AB49" s="44">
        <f t="shared" si="2"/>
        <v>0</v>
      </c>
      <c r="AC49" s="44">
        <f t="shared" si="3"/>
        <v>0</v>
      </c>
      <c r="AD49" s="44">
        <f t="shared" si="4"/>
        <v>0</v>
      </c>
      <c r="AE49" s="44">
        <f t="shared" si="5"/>
        <v>0</v>
      </c>
      <c r="AF49" s="44">
        <f t="shared" si="6"/>
        <v>0</v>
      </c>
      <c r="AG49" s="44">
        <f t="shared" si="7"/>
        <v>0</v>
      </c>
      <c r="AH49" s="44">
        <f t="shared" si="8"/>
        <v>0</v>
      </c>
      <c r="AI49" s="24"/>
      <c r="AJ49" s="44">
        <f t="shared" si="9"/>
        <v>0</v>
      </c>
      <c r="AK49" s="44">
        <f t="shared" si="10"/>
        <v>0</v>
      </c>
      <c r="AL49" s="44">
        <f t="shared" si="11"/>
        <v>0</v>
      </c>
      <c r="AN49" s="44">
        <v>21</v>
      </c>
      <c r="AO49" s="44">
        <f>K49*0.858617808134034</f>
        <v>0</v>
      </c>
      <c r="AP49" s="44">
        <f>K49*(1-0.858617808134034)</f>
        <v>0</v>
      </c>
      <c r="AQ49" s="45" t="s">
        <v>80</v>
      </c>
      <c r="AV49" s="44">
        <f t="shared" si="12"/>
        <v>0</v>
      </c>
      <c r="AW49" s="44">
        <f t="shared" si="13"/>
        <v>0</v>
      </c>
      <c r="AX49" s="44">
        <f t="shared" si="14"/>
        <v>0</v>
      </c>
      <c r="AY49" s="45" t="s">
        <v>159</v>
      </c>
      <c r="AZ49" s="45" t="s">
        <v>160</v>
      </c>
      <c r="BA49" s="24" t="s">
        <v>56</v>
      </c>
      <c r="BC49" s="44">
        <f t="shared" si="15"/>
        <v>0</v>
      </c>
      <c r="BD49" s="44">
        <f t="shared" si="16"/>
        <v>0</v>
      </c>
      <c r="BE49" s="44">
        <v>0</v>
      </c>
      <c r="BF49" s="44">
        <f>49</f>
        <v>49</v>
      </c>
      <c r="BH49" s="44">
        <f t="shared" si="17"/>
        <v>0</v>
      </c>
      <c r="BI49" s="44">
        <f t="shared" si="18"/>
        <v>0</v>
      </c>
      <c r="BJ49" s="44">
        <f t="shared" si="19"/>
        <v>0</v>
      </c>
      <c r="BK49" s="44" t="s">
        <v>57</v>
      </c>
      <c r="BL49" s="44">
        <v>721</v>
      </c>
    </row>
    <row r="50" spans="1:64" ht="19.5" customHeight="1">
      <c r="A50" s="38" t="s">
        <v>171</v>
      </c>
      <c r="B50" s="39" t="s">
        <v>172</v>
      </c>
      <c r="C50" s="39" t="s">
        <v>173</v>
      </c>
      <c r="D50" s="39"/>
      <c r="E50" s="39"/>
      <c r="F50" s="39"/>
      <c r="G50" s="39"/>
      <c r="H50" s="39"/>
      <c r="I50" s="39" t="s">
        <v>158</v>
      </c>
      <c r="J50" s="42">
        <v>8</v>
      </c>
      <c r="K50" s="41">
        <v>0</v>
      </c>
      <c r="L50" s="42">
        <f t="shared" si="0"/>
        <v>0</v>
      </c>
      <c r="M50" s="43" t="s">
        <v>53</v>
      </c>
      <c r="N50" s="8"/>
      <c r="Z50" s="44">
        <f t="shared" si="1"/>
        <v>0</v>
      </c>
      <c r="AB50" s="44">
        <f t="shared" si="2"/>
        <v>0</v>
      </c>
      <c r="AC50" s="44">
        <f t="shared" si="3"/>
        <v>0</v>
      </c>
      <c r="AD50" s="44">
        <f t="shared" si="4"/>
        <v>0</v>
      </c>
      <c r="AE50" s="44">
        <f t="shared" si="5"/>
        <v>0</v>
      </c>
      <c r="AF50" s="44">
        <f t="shared" si="6"/>
        <v>0</v>
      </c>
      <c r="AG50" s="44">
        <f t="shared" si="7"/>
        <v>0</v>
      </c>
      <c r="AH50" s="44">
        <f t="shared" si="8"/>
        <v>0</v>
      </c>
      <c r="AI50" s="24"/>
      <c r="AJ50" s="44">
        <f t="shared" si="9"/>
        <v>0</v>
      </c>
      <c r="AK50" s="44">
        <f t="shared" si="10"/>
        <v>0</v>
      </c>
      <c r="AL50" s="44">
        <f t="shared" si="11"/>
        <v>0</v>
      </c>
      <c r="AN50" s="44">
        <v>21</v>
      </c>
      <c r="AO50" s="44">
        <f>K50*0.432878048780488</f>
        <v>0</v>
      </c>
      <c r="AP50" s="44">
        <f>K50*(1-0.432878048780488)</f>
        <v>0</v>
      </c>
      <c r="AQ50" s="45" t="s">
        <v>80</v>
      </c>
      <c r="AV50" s="44">
        <f t="shared" si="12"/>
        <v>0</v>
      </c>
      <c r="AW50" s="44">
        <f t="shared" si="13"/>
        <v>0</v>
      </c>
      <c r="AX50" s="44">
        <f t="shared" si="14"/>
        <v>0</v>
      </c>
      <c r="AY50" s="45" t="s">
        <v>159</v>
      </c>
      <c r="AZ50" s="45" t="s">
        <v>160</v>
      </c>
      <c r="BA50" s="24" t="s">
        <v>56</v>
      </c>
      <c r="BC50" s="44">
        <f t="shared" si="15"/>
        <v>0</v>
      </c>
      <c r="BD50" s="44">
        <f t="shared" si="16"/>
        <v>0</v>
      </c>
      <c r="BE50" s="44">
        <v>0</v>
      </c>
      <c r="BF50" s="44">
        <f>50</f>
        <v>50</v>
      </c>
      <c r="BH50" s="44">
        <f t="shared" si="17"/>
        <v>0</v>
      </c>
      <c r="BI50" s="44">
        <f t="shared" si="18"/>
        <v>0</v>
      </c>
      <c r="BJ50" s="44">
        <f t="shared" si="19"/>
        <v>0</v>
      </c>
      <c r="BK50" s="44" t="s">
        <v>57</v>
      </c>
      <c r="BL50" s="44">
        <v>721</v>
      </c>
    </row>
    <row r="51" spans="1:64" ht="19.5" customHeight="1">
      <c r="A51" s="38" t="s">
        <v>174</v>
      </c>
      <c r="B51" s="39" t="s">
        <v>175</v>
      </c>
      <c r="C51" s="39" t="s">
        <v>176</v>
      </c>
      <c r="D51" s="39"/>
      <c r="E51" s="39"/>
      <c r="F51" s="39"/>
      <c r="G51" s="39"/>
      <c r="H51" s="39"/>
      <c r="I51" s="39" t="s">
        <v>158</v>
      </c>
      <c r="J51" s="42">
        <v>10</v>
      </c>
      <c r="K51" s="41">
        <v>0</v>
      </c>
      <c r="L51" s="42">
        <f t="shared" si="0"/>
        <v>0</v>
      </c>
      <c r="M51" s="43" t="s">
        <v>53</v>
      </c>
      <c r="N51" s="8"/>
      <c r="Z51" s="44">
        <f t="shared" si="1"/>
        <v>0</v>
      </c>
      <c r="AB51" s="44">
        <f t="shared" si="2"/>
        <v>0</v>
      </c>
      <c r="AC51" s="44">
        <f t="shared" si="3"/>
        <v>0</v>
      </c>
      <c r="AD51" s="44">
        <f t="shared" si="4"/>
        <v>0</v>
      </c>
      <c r="AE51" s="44">
        <f t="shared" si="5"/>
        <v>0</v>
      </c>
      <c r="AF51" s="44">
        <f t="shared" si="6"/>
        <v>0</v>
      </c>
      <c r="AG51" s="44">
        <f t="shared" si="7"/>
        <v>0</v>
      </c>
      <c r="AH51" s="44">
        <f t="shared" si="8"/>
        <v>0</v>
      </c>
      <c r="AI51" s="24"/>
      <c r="AJ51" s="44">
        <f t="shared" si="9"/>
        <v>0</v>
      </c>
      <c r="AK51" s="44">
        <f t="shared" si="10"/>
        <v>0</v>
      </c>
      <c r="AL51" s="44">
        <f t="shared" si="11"/>
        <v>0</v>
      </c>
      <c r="AN51" s="44">
        <v>21</v>
      </c>
      <c r="AO51" s="44">
        <f>K51*0.328066666666667</f>
        <v>0</v>
      </c>
      <c r="AP51" s="44">
        <f>K51*(1-0.328066666666667)</f>
        <v>0</v>
      </c>
      <c r="AQ51" s="45" t="s">
        <v>80</v>
      </c>
      <c r="AV51" s="44">
        <f t="shared" si="12"/>
        <v>0</v>
      </c>
      <c r="AW51" s="44">
        <f t="shared" si="13"/>
        <v>0</v>
      </c>
      <c r="AX51" s="44">
        <f t="shared" si="14"/>
        <v>0</v>
      </c>
      <c r="AY51" s="45" t="s">
        <v>159</v>
      </c>
      <c r="AZ51" s="45" t="s">
        <v>160</v>
      </c>
      <c r="BA51" s="24" t="s">
        <v>56</v>
      </c>
      <c r="BC51" s="44">
        <f t="shared" si="15"/>
        <v>0</v>
      </c>
      <c r="BD51" s="44">
        <f t="shared" si="16"/>
        <v>0</v>
      </c>
      <c r="BE51" s="44">
        <v>0</v>
      </c>
      <c r="BF51" s="44">
        <f>51</f>
        <v>51</v>
      </c>
      <c r="BH51" s="44">
        <f t="shared" si="17"/>
        <v>0</v>
      </c>
      <c r="BI51" s="44">
        <f t="shared" si="18"/>
        <v>0</v>
      </c>
      <c r="BJ51" s="44">
        <f t="shared" si="19"/>
        <v>0</v>
      </c>
      <c r="BK51" s="44" t="s">
        <v>57</v>
      </c>
      <c r="BL51" s="44">
        <v>721</v>
      </c>
    </row>
    <row r="52" spans="1:64" ht="19.5" customHeight="1">
      <c r="A52" s="38" t="s">
        <v>177</v>
      </c>
      <c r="B52" s="39" t="s">
        <v>178</v>
      </c>
      <c r="C52" s="39" t="s">
        <v>179</v>
      </c>
      <c r="D52" s="39"/>
      <c r="E52" s="39"/>
      <c r="F52" s="39"/>
      <c r="G52" s="39"/>
      <c r="H52" s="39"/>
      <c r="I52" s="39" t="s">
        <v>158</v>
      </c>
      <c r="J52" s="42">
        <v>32</v>
      </c>
      <c r="K52" s="41">
        <v>0</v>
      </c>
      <c r="L52" s="42">
        <f t="shared" si="0"/>
        <v>0</v>
      </c>
      <c r="M52" s="43" t="s">
        <v>53</v>
      </c>
      <c r="N52" s="8"/>
      <c r="Z52" s="44">
        <f t="shared" si="1"/>
        <v>0</v>
      </c>
      <c r="AB52" s="44">
        <f t="shared" si="2"/>
        <v>0</v>
      </c>
      <c r="AC52" s="44">
        <f t="shared" si="3"/>
        <v>0</v>
      </c>
      <c r="AD52" s="44">
        <f t="shared" si="4"/>
        <v>0</v>
      </c>
      <c r="AE52" s="44">
        <f t="shared" si="5"/>
        <v>0</v>
      </c>
      <c r="AF52" s="44">
        <f t="shared" si="6"/>
        <v>0</v>
      </c>
      <c r="AG52" s="44">
        <f t="shared" si="7"/>
        <v>0</v>
      </c>
      <c r="AH52" s="44">
        <f t="shared" si="8"/>
        <v>0</v>
      </c>
      <c r="AI52" s="24"/>
      <c r="AJ52" s="44">
        <f t="shared" si="9"/>
        <v>0</v>
      </c>
      <c r="AK52" s="44">
        <f t="shared" si="10"/>
        <v>0</v>
      </c>
      <c r="AL52" s="44">
        <f t="shared" si="11"/>
        <v>0</v>
      </c>
      <c r="AN52" s="44">
        <v>21</v>
      </c>
      <c r="AO52" s="44">
        <f>K52*0.354411764705882</f>
        <v>0</v>
      </c>
      <c r="AP52" s="44">
        <f>K52*(1-0.354411764705882)</f>
        <v>0</v>
      </c>
      <c r="AQ52" s="45" t="s">
        <v>80</v>
      </c>
      <c r="AV52" s="44">
        <f t="shared" si="12"/>
        <v>0</v>
      </c>
      <c r="AW52" s="44">
        <f t="shared" si="13"/>
        <v>0</v>
      </c>
      <c r="AX52" s="44">
        <f t="shared" si="14"/>
        <v>0</v>
      </c>
      <c r="AY52" s="45" t="s">
        <v>159</v>
      </c>
      <c r="AZ52" s="45" t="s">
        <v>160</v>
      </c>
      <c r="BA52" s="24" t="s">
        <v>56</v>
      </c>
      <c r="BC52" s="44">
        <f t="shared" si="15"/>
        <v>0</v>
      </c>
      <c r="BD52" s="44">
        <f t="shared" si="16"/>
        <v>0</v>
      </c>
      <c r="BE52" s="44">
        <v>0</v>
      </c>
      <c r="BF52" s="44">
        <f>52</f>
        <v>52</v>
      </c>
      <c r="BH52" s="44">
        <f t="shared" si="17"/>
        <v>0</v>
      </c>
      <c r="BI52" s="44">
        <f t="shared" si="18"/>
        <v>0</v>
      </c>
      <c r="BJ52" s="44">
        <f t="shared" si="19"/>
        <v>0</v>
      </c>
      <c r="BK52" s="44" t="s">
        <v>57</v>
      </c>
      <c r="BL52" s="44">
        <v>721</v>
      </c>
    </row>
    <row r="53" spans="1:64" ht="19.5" customHeight="1">
      <c r="A53" s="38" t="s">
        <v>180</v>
      </c>
      <c r="B53" s="39" t="s">
        <v>181</v>
      </c>
      <c r="C53" s="39" t="s">
        <v>182</v>
      </c>
      <c r="D53" s="39"/>
      <c r="E53" s="39"/>
      <c r="F53" s="39"/>
      <c r="G53" s="39"/>
      <c r="H53" s="39"/>
      <c r="I53" s="39" t="s">
        <v>158</v>
      </c>
      <c r="J53" s="42">
        <v>35</v>
      </c>
      <c r="K53" s="41">
        <v>0</v>
      </c>
      <c r="L53" s="42">
        <f t="shared" si="0"/>
        <v>0</v>
      </c>
      <c r="M53" s="43" t="s">
        <v>53</v>
      </c>
      <c r="N53" s="8"/>
      <c r="Z53" s="44">
        <f t="shared" si="1"/>
        <v>0</v>
      </c>
      <c r="AB53" s="44">
        <f t="shared" si="2"/>
        <v>0</v>
      </c>
      <c r="AC53" s="44">
        <f t="shared" si="3"/>
        <v>0</v>
      </c>
      <c r="AD53" s="44">
        <f t="shared" si="4"/>
        <v>0</v>
      </c>
      <c r="AE53" s="44">
        <f t="shared" si="5"/>
        <v>0</v>
      </c>
      <c r="AF53" s="44">
        <f t="shared" si="6"/>
        <v>0</v>
      </c>
      <c r="AG53" s="44">
        <f t="shared" si="7"/>
        <v>0</v>
      </c>
      <c r="AH53" s="44">
        <f t="shared" si="8"/>
        <v>0</v>
      </c>
      <c r="AI53" s="24"/>
      <c r="AJ53" s="44">
        <f t="shared" si="9"/>
        <v>0</v>
      </c>
      <c r="AK53" s="44">
        <f t="shared" si="10"/>
        <v>0</v>
      </c>
      <c r="AL53" s="44">
        <f t="shared" si="11"/>
        <v>0</v>
      </c>
      <c r="AN53" s="44">
        <v>21</v>
      </c>
      <c r="AO53" s="44">
        <f>K53*0.405835866261398</f>
        <v>0</v>
      </c>
      <c r="AP53" s="44">
        <f>K53*(1-0.405835866261398)</f>
        <v>0</v>
      </c>
      <c r="AQ53" s="45" t="s">
        <v>80</v>
      </c>
      <c r="AV53" s="44">
        <f t="shared" si="12"/>
        <v>0</v>
      </c>
      <c r="AW53" s="44">
        <f t="shared" si="13"/>
        <v>0</v>
      </c>
      <c r="AX53" s="44">
        <f t="shared" si="14"/>
        <v>0</v>
      </c>
      <c r="AY53" s="45" t="s">
        <v>159</v>
      </c>
      <c r="AZ53" s="45" t="s">
        <v>160</v>
      </c>
      <c r="BA53" s="24" t="s">
        <v>56</v>
      </c>
      <c r="BB53" s="24" t="s">
        <v>183</v>
      </c>
      <c r="BC53" s="44">
        <f t="shared" si="15"/>
        <v>0</v>
      </c>
      <c r="BD53" s="44">
        <f t="shared" si="16"/>
        <v>0</v>
      </c>
      <c r="BE53" s="44">
        <v>0</v>
      </c>
      <c r="BF53" s="44">
        <f>53</f>
        <v>53</v>
      </c>
      <c r="BH53" s="44">
        <f t="shared" si="17"/>
        <v>0</v>
      </c>
      <c r="BI53" s="44">
        <f t="shared" si="18"/>
        <v>0</v>
      </c>
      <c r="BJ53" s="44">
        <f t="shared" si="19"/>
        <v>0</v>
      </c>
      <c r="BK53" s="44" t="s">
        <v>57</v>
      </c>
      <c r="BL53" s="44">
        <v>721</v>
      </c>
    </row>
    <row r="54" spans="1:64" ht="19.5" customHeight="1">
      <c r="A54" s="38" t="s">
        <v>184</v>
      </c>
      <c r="B54" s="39" t="s">
        <v>185</v>
      </c>
      <c r="C54" s="39" t="s">
        <v>186</v>
      </c>
      <c r="D54" s="39"/>
      <c r="E54" s="39"/>
      <c r="F54" s="39"/>
      <c r="G54" s="39"/>
      <c r="H54" s="39"/>
      <c r="I54" s="39" t="s">
        <v>170</v>
      </c>
      <c r="J54" s="42">
        <v>2</v>
      </c>
      <c r="K54" s="41">
        <v>0</v>
      </c>
      <c r="L54" s="42">
        <f t="shared" si="0"/>
        <v>0</v>
      </c>
      <c r="M54" s="43" t="s">
        <v>53</v>
      </c>
      <c r="N54" s="8"/>
      <c r="Z54" s="44">
        <f t="shared" si="1"/>
        <v>0</v>
      </c>
      <c r="AB54" s="44">
        <f t="shared" si="2"/>
        <v>0</v>
      </c>
      <c r="AC54" s="44">
        <f t="shared" si="3"/>
        <v>0</v>
      </c>
      <c r="AD54" s="44">
        <f t="shared" si="4"/>
        <v>0</v>
      </c>
      <c r="AE54" s="44">
        <f t="shared" si="5"/>
        <v>0</v>
      </c>
      <c r="AF54" s="44">
        <f t="shared" si="6"/>
        <v>0</v>
      </c>
      <c r="AG54" s="44">
        <f t="shared" si="7"/>
        <v>0</v>
      </c>
      <c r="AH54" s="44">
        <f t="shared" si="8"/>
        <v>0</v>
      </c>
      <c r="AI54" s="24"/>
      <c r="AJ54" s="44">
        <f t="shared" si="9"/>
        <v>0</v>
      </c>
      <c r="AK54" s="44">
        <f t="shared" si="10"/>
        <v>0</v>
      </c>
      <c r="AL54" s="44">
        <f t="shared" si="11"/>
        <v>0</v>
      </c>
      <c r="AN54" s="44">
        <v>21</v>
      </c>
      <c r="AO54" s="44">
        <f>K54*0.773376383763838</f>
        <v>0</v>
      </c>
      <c r="AP54" s="44">
        <f>K54*(1-0.773376383763838)</f>
        <v>0</v>
      </c>
      <c r="AQ54" s="45" t="s">
        <v>80</v>
      </c>
      <c r="AV54" s="44">
        <f t="shared" si="12"/>
        <v>0</v>
      </c>
      <c r="AW54" s="44">
        <f t="shared" si="13"/>
        <v>0</v>
      </c>
      <c r="AX54" s="44">
        <f t="shared" si="14"/>
        <v>0</v>
      </c>
      <c r="AY54" s="45" t="s">
        <v>159</v>
      </c>
      <c r="AZ54" s="45" t="s">
        <v>160</v>
      </c>
      <c r="BA54" s="24" t="s">
        <v>56</v>
      </c>
      <c r="BB54" s="24" t="s">
        <v>183</v>
      </c>
      <c r="BC54" s="44">
        <f t="shared" si="15"/>
        <v>0</v>
      </c>
      <c r="BD54" s="44">
        <f t="shared" si="16"/>
        <v>0</v>
      </c>
      <c r="BE54" s="44">
        <v>0</v>
      </c>
      <c r="BF54" s="44">
        <f>54</f>
        <v>54</v>
      </c>
      <c r="BH54" s="44">
        <f t="shared" si="17"/>
        <v>0</v>
      </c>
      <c r="BI54" s="44">
        <f t="shared" si="18"/>
        <v>0</v>
      </c>
      <c r="BJ54" s="44">
        <f t="shared" si="19"/>
        <v>0</v>
      </c>
      <c r="BK54" s="44" t="s">
        <v>57</v>
      </c>
      <c r="BL54" s="44">
        <v>721</v>
      </c>
    </row>
    <row r="55" spans="1:64" ht="19.5" customHeight="1">
      <c r="A55" s="38" t="s">
        <v>187</v>
      </c>
      <c r="B55" s="39" t="s">
        <v>188</v>
      </c>
      <c r="C55" s="39" t="s">
        <v>189</v>
      </c>
      <c r="D55" s="39"/>
      <c r="E55" s="39"/>
      <c r="F55" s="39"/>
      <c r="G55" s="39"/>
      <c r="H55" s="39"/>
      <c r="I55" s="39" t="s">
        <v>170</v>
      </c>
      <c r="J55" s="42">
        <v>4</v>
      </c>
      <c r="K55" s="41">
        <v>0</v>
      </c>
      <c r="L55" s="42">
        <f t="shared" si="0"/>
        <v>0</v>
      </c>
      <c r="M55" s="43" t="s">
        <v>53</v>
      </c>
      <c r="N55" s="8"/>
      <c r="Z55" s="44">
        <f t="shared" si="1"/>
        <v>0</v>
      </c>
      <c r="AB55" s="44">
        <f t="shared" si="2"/>
        <v>0</v>
      </c>
      <c r="AC55" s="44">
        <f t="shared" si="3"/>
        <v>0</v>
      </c>
      <c r="AD55" s="44">
        <f t="shared" si="4"/>
        <v>0</v>
      </c>
      <c r="AE55" s="44">
        <f t="shared" si="5"/>
        <v>0</v>
      </c>
      <c r="AF55" s="44">
        <f t="shared" si="6"/>
        <v>0</v>
      </c>
      <c r="AG55" s="44">
        <f t="shared" si="7"/>
        <v>0</v>
      </c>
      <c r="AH55" s="44">
        <f t="shared" si="8"/>
        <v>0</v>
      </c>
      <c r="AI55" s="24"/>
      <c r="AJ55" s="44">
        <f t="shared" si="9"/>
        <v>0</v>
      </c>
      <c r="AK55" s="44">
        <f t="shared" si="10"/>
        <v>0</v>
      </c>
      <c r="AL55" s="44">
        <f t="shared" si="11"/>
        <v>0</v>
      </c>
      <c r="AN55" s="44">
        <v>21</v>
      </c>
      <c r="AO55" s="44">
        <f>K55*0.775351928280196</f>
        <v>0</v>
      </c>
      <c r="AP55" s="44">
        <f>K55*(1-0.775351928280196)</f>
        <v>0</v>
      </c>
      <c r="AQ55" s="45" t="s">
        <v>80</v>
      </c>
      <c r="AV55" s="44">
        <f t="shared" si="12"/>
        <v>0</v>
      </c>
      <c r="AW55" s="44">
        <f t="shared" si="13"/>
        <v>0</v>
      </c>
      <c r="AX55" s="44">
        <f t="shared" si="14"/>
        <v>0</v>
      </c>
      <c r="AY55" s="45" t="s">
        <v>159</v>
      </c>
      <c r="AZ55" s="45" t="s">
        <v>160</v>
      </c>
      <c r="BA55" s="24" t="s">
        <v>56</v>
      </c>
      <c r="BC55" s="44">
        <f t="shared" si="15"/>
        <v>0</v>
      </c>
      <c r="BD55" s="44">
        <f t="shared" si="16"/>
        <v>0</v>
      </c>
      <c r="BE55" s="44">
        <v>0</v>
      </c>
      <c r="BF55" s="44">
        <f>55</f>
        <v>55</v>
      </c>
      <c r="BH55" s="44">
        <f t="shared" si="17"/>
        <v>0</v>
      </c>
      <c r="BI55" s="44">
        <f t="shared" si="18"/>
        <v>0</v>
      </c>
      <c r="BJ55" s="44">
        <f t="shared" si="19"/>
        <v>0</v>
      </c>
      <c r="BK55" s="44" t="s">
        <v>57</v>
      </c>
      <c r="BL55" s="44">
        <v>721</v>
      </c>
    </row>
    <row r="56" spans="1:64" ht="19.5" customHeight="1">
      <c r="A56" s="38" t="s">
        <v>120</v>
      </c>
      <c r="B56" s="39" t="s">
        <v>190</v>
      </c>
      <c r="C56" s="39" t="s">
        <v>191</v>
      </c>
      <c r="D56" s="39"/>
      <c r="E56" s="39"/>
      <c r="F56" s="39"/>
      <c r="G56" s="39"/>
      <c r="H56" s="39"/>
      <c r="I56" s="39" t="s">
        <v>170</v>
      </c>
      <c r="J56" s="42">
        <v>5</v>
      </c>
      <c r="K56" s="41">
        <v>0</v>
      </c>
      <c r="L56" s="42">
        <f t="shared" si="0"/>
        <v>0</v>
      </c>
      <c r="M56" s="43" t="s">
        <v>53</v>
      </c>
      <c r="N56" s="8"/>
      <c r="Z56" s="44">
        <f t="shared" si="1"/>
        <v>0</v>
      </c>
      <c r="AB56" s="44">
        <f t="shared" si="2"/>
        <v>0</v>
      </c>
      <c r="AC56" s="44">
        <f t="shared" si="3"/>
        <v>0</v>
      </c>
      <c r="AD56" s="44">
        <f t="shared" si="4"/>
        <v>0</v>
      </c>
      <c r="AE56" s="44">
        <f t="shared" si="5"/>
        <v>0</v>
      </c>
      <c r="AF56" s="44">
        <f t="shared" si="6"/>
        <v>0</v>
      </c>
      <c r="AG56" s="44">
        <f t="shared" si="7"/>
        <v>0</v>
      </c>
      <c r="AH56" s="44">
        <f t="shared" si="8"/>
        <v>0</v>
      </c>
      <c r="AI56" s="24"/>
      <c r="AJ56" s="44">
        <f t="shared" si="9"/>
        <v>0</v>
      </c>
      <c r="AK56" s="44">
        <f t="shared" si="10"/>
        <v>0</v>
      </c>
      <c r="AL56" s="44">
        <f t="shared" si="11"/>
        <v>0</v>
      </c>
      <c r="AN56" s="44">
        <v>21</v>
      </c>
      <c r="AO56" s="44">
        <f>K56*0.860939777262581</f>
        <v>0</v>
      </c>
      <c r="AP56" s="44">
        <f>K56*(1-0.860939777262581)</f>
        <v>0</v>
      </c>
      <c r="AQ56" s="45" t="s">
        <v>80</v>
      </c>
      <c r="AV56" s="44">
        <f t="shared" si="12"/>
        <v>0</v>
      </c>
      <c r="AW56" s="44">
        <f t="shared" si="13"/>
        <v>0</v>
      </c>
      <c r="AX56" s="44">
        <f t="shared" si="14"/>
        <v>0</v>
      </c>
      <c r="AY56" s="45" t="s">
        <v>159</v>
      </c>
      <c r="AZ56" s="45" t="s">
        <v>160</v>
      </c>
      <c r="BA56" s="24" t="s">
        <v>56</v>
      </c>
      <c r="BC56" s="44">
        <f t="shared" si="15"/>
        <v>0</v>
      </c>
      <c r="BD56" s="44">
        <f t="shared" si="16"/>
        <v>0</v>
      </c>
      <c r="BE56" s="44">
        <v>0</v>
      </c>
      <c r="BF56" s="44">
        <f>56</f>
        <v>56</v>
      </c>
      <c r="BH56" s="44">
        <f t="shared" si="17"/>
        <v>0</v>
      </c>
      <c r="BI56" s="44">
        <f t="shared" si="18"/>
        <v>0</v>
      </c>
      <c r="BJ56" s="44">
        <f t="shared" si="19"/>
        <v>0</v>
      </c>
      <c r="BK56" s="44" t="s">
        <v>57</v>
      </c>
      <c r="BL56" s="44">
        <v>721</v>
      </c>
    </row>
    <row r="57" spans="1:64" ht="19.5" customHeight="1">
      <c r="A57" s="38" t="s">
        <v>192</v>
      </c>
      <c r="B57" s="39" t="s">
        <v>193</v>
      </c>
      <c r="C57" s="39" t="s">
        <v>194</v>
      </c>
      <c r="D57" s="39"/>
      <c r="E57" s="39"/>
      <c r="F57" s="39"/>
      <c r="G57" s="39"/>
      <c r="H57" s="39"/>
      <c r="I57" s="39" t="s">
        <v>170</v>
      </c>
      <c r="J57" s="42">
        <v>1</v>
      </c>
      <c r="K57" s="41">
        <v>0</v>
      </c>
      <c r="L57" s="42">
        <f t="shared" si="0"/>
        <v>0</v>
      </c>
      <c r="M57" s="43" t="s">
        <v>53</v>
      </c>
      <c r="N57" s="8"/>
      <c r="Z57" s="44">
        <f t="shared" si="1"/>
        <v>0</v>
      </c>
      <c r="AB57" s="44">
        <f t="shared" si="2"/>
        <v>0</v>
      </c>
      <c r="AC57" s="44">
        <f t="shared" si="3"/>
        <v>0</v>
      </c>
      <c r="AD57" s="44">
        <f t="shared" si="4"/>
        <v>0</v>
      </c>
      <c r="AE57" s="44">
        <f t="shared" si="5"/>
        <v>0</v>
      </c>
      <c r="AF57" s="44">
        <f t="shared" si="6"/>
        <v>0</v>
      </c>
      <c r="AG57" s="44">
        <f t="shared" si="7"/>
        <v>0</v>
      </c>
      <c r="AH57" s="44">
        <f t="shared" si="8"/>
        <v>0</v>
      </c>
      <c r="AI57" s="24"/>
      <c r="AJ57" s="44">
        <f t="shared" si="9"/>
        <v>0</v>
      </c>
      <c r="AK57" s="44">
        <f t="shared" si="10"/>
        <v>0</v>
      </c>
      <c r="AL57" s="44">
        <f t="shared" si="11"/>
        <v>0</v>
      </c>
      <c r="AN57" s="44">
        <v>21</v>
      </c>
      <c r="AO57" s="44">
        <f>K57*0.147533425541724</f>
        <v>0</v>
      </c>
      <c r="AP57" s="44">
        <f>K57*(1-0.147533425541724)</f>
        <v>0</v>
      </c>
      <c r="AQ57" s="45" t="s">
        <v>80</v>
      </c>
      <c r="AV57" s="44">
        <f t="shared" si="12"/>
        <v>0</v>
      </c>
      <c r="AW57" s="44">
        <f t="shared" si="13"/>
        <v>0</v>
      </c>
      <c r="AX57" s="44">
        <f t="shared" si="14"/>
        <v>0</v>
      </c>
      <c r="AY57" s="45" t="s">
        <v>159</v>
      </c>
      <c r="AZ57" s="45" t="s">
        <v>160</v>
      </c>
      <c r="BA57" s="24" t="s">
        <v>56</v>
      </c>
      <c r="BC57" s="44">
        <f t="shared" si="15"/>
        <v>0</v>
      </c>
      <c r="BD57" s="44">
        <f t="shared" si="16"/>
        <v>0</v>
      </c>
      <c r="BE57" s="44">
        <v>0</v>
      </c>
      <c r="BF57" s="44">
        <f>57</f>
        <v>57</v>
      </c>
      <c r="BH57" s="44">
        <f t="shared" si="17"/>
        <v>0</v>
      </c>
      <c r="BI57" s="44">
        <f t="shared" si="18"/>
        <v>0</v>
      </c>
      <c r="BJ57" s="44">
        <f t="shared" si="19"/>
        <v>0</v>
      </c>
      <c r="BK57" s="44" t="s">
        <v>57</v>
      </c>
      <c r="BL57" s="44">
        <v>721</v>
      </c>
    </row>
    <row r="58" spans="1:64" ht="19.5" customHeight="1">
      <c r="A58" s="38" t="s">
        <v>195</v>
      </c>
      <c r="B58" s="39" t="s">
        <v>196</v>
      </c>
      <c r="C58" s="39" t="s">
        <v>197</v>
      </c>
      <c r="D58" s="39"/>
      <c r="E58" s="39"/>
      <c r="F58" s="39"/>
      <c r="G58" s="39"/>
      <c r="H58" s="39"/>
      <c r="I58" s="39" t="s">
        <v>170</v>
      </c>
      <c r="J58" s="42">
        <v>16</v>
      </c>
      <c r="K58" s="41">
        <v>0</v>
      </c>
      <c r="L58" s="42">
        <f t="shared" si="0"/>
        <v>0</v>
      </c>
      <c r="M58" s="43" t="s">
        <v>53</v>
      </c>
      <c r="N58" s="8"/>
      <c r="Z58" s="44">
        <f t="shared" si="1"/>
        <v>0</v>
      </c>
      <c r="AB58" s="44">
        <f t="shared" si="2"/>
        <v>0</v>
      </c>
      <c r="AC58" s="44">
        <f t="shared" si="3"/>
        <v>0</v>
      </c>
      <c r="AD58" s="44">
        <f t="shared" si="4"/>
        <v>0</v>
      </c>
      <c r="AE58" s="44">
        <f t="shared" si="5"/>
        <v>0</v>
      </c>
      <c r="AF58" s="44">
        <f t="shared" si="6"/>
        <v>0</v>
      </c>
      <c r="AG58" s="44">
        <f t="shared" si="7"/>
        <v>0</v>
      </c>
      <c r="AH58" s="44">
        <f t="shared" si="8"/>
        <v>0</v>
      </c>
      <c r="AI58" s="24"/>
      <c r="AJ58" s="44">
        <f t="shared" si="9"/>
        <v>0</v>
      </c>
      <c r="AK58" s="44">
        <f t="shared" si="10"/>
        <v>0</v>
      </c>
      <c r="AL58" s="44">
        <f t="shared" si="11"/>
        <v>0</v>
      </c>
      <c r="AN58" s="44">
        <v>21</v>
      </c>
      <c r="AO58" s="44">
        <f>K58*0.151608483915161</f>
        <v>0</v>
      </c>
      <c r="AP58" s="44">
        <f>K58*(1-0.151608483915161)</f>
        <v>0</v>
      </c>
      <c r="AQ58" s="45" t="s">
        <v>80</v>
      </c>
      <c r="AV58" s="44">
        <f t="shared" si="12"/>
        <v>0</v>
      </c>
      <c r="AW58" s="44">
        <f t="shared" si="13"/>
        <v>0</v>
      </c>
      <c r="AX58" s="44">
        <f t="shared" si="14"/>
        <v>0</v>
      </c>
      <c r="AY58" s="45" t="s">
        <v>159</v>
      </c>
      <c r="AZ58" s="45" t="s">
        <v>160</v>
      </c>
      <c r="BA58" s="24" t="s">
        <v>56</v>
      </c>
      <c r="BC58" s="44">
        <f t="shared" si="15"/>
        <v>0</v>
      </c>
      <c r="BD58" s="44">
        <f t="shared" si="16"/>
        <v>0</v>
      </c>
      <c r="BE58" s="44">
        <v>0</v>
      </c>
      <c r="BF58" s="44">
        <f>58</f>
        <v>58</v>
      </c>
      <c r="BH58" s="44">
        <f t="shared" si="17"/>
        <v>0</v>
      </c>
      <c r="BI58" s="44">
        <f t="shared" si="18"/>
        <v>0</v>
      </c>
      <c r="BJ58" s="44">
        <f t="shared" si="19"/>
        <v>0</v>
      </c>
      <c r="BK58" s="44" t="s">
        <v>57</v>
      </c>
      <c r="BL58" s="44">
        <v>721</v>
      </c>
    </row>
    <row r="59" spans="1:64" ht="19.5" customHeight="1">
      <c r="A59" s="38" t="s">
        <v>198</v>
      </c>
      <c r="B59" s="39" t="s">
        <v>199</v>
      </c>
      <c r="C59" s="39" t="s">
        <v>200</v>
      </c>
      <c r="D59" s="39"/>
      <c r="E59" s="39"/>
      <c r="F59" s="39"/>
      <c r="G59" s="39"/>
      <c r="H59" s="39"/>
      <c r="I59" s="39" t="s">
        <v>158</v>
      </c>
      <c r="J59" s="42">
        <v>192</v>
      </c>
      <c r="K59" s="41">
        <v>0</v>
      </c>
      <c r="L59" s="42">
        <f t="shared" si="0"/>
        <v>0</v>
      </c>
      <c r="M59" s="43" t="s">
        <v>53</v>
      </c>
      <c r="N59" s="8"/>
      <c r="Z59" s="44">
        <f t="shared" si="1"/>
        <v>0</v>
      </c>
      <c r="AB59" s="44">
        <f t="shared" si="2"/>
        <v>0</v>
      </c>
      <c r="AC59" s="44">
        <f t="shared" si="3"/>
        <v>0</v>
      </c>
      <c r="AD59" s="44">
        <f t="shared" si="4"/>
        <v>0</v>
      </c>
      <c r="AE59" s="44">
        <f t="shared" si="5"/>
        <v>0</v>
      </c>
      <c r="AF59" s="44">
        <f t="shared" si="6"/>
        <v>0</v>
      </c>
      <c r="AG59" s="44">
        <f t="shared" si="7"/>
        <v>0</v>
      </c>
      <c r="AH59" s="44">
        <f t="shared" si="8"/>
        <v>0</v>
      </c>
      <c r="AI59" s="24"/>
      <c r="AJ59" s="44">
        <f t="shared" si="9"/>
        <v>0</v>
      </c>
      <c r="AK59" s="44">
        <f t="shared" si="10"/>
        <v>0</v>
      </c>
      <c r="AL59" s="44">
        <f t="shared" si="11"/>
        <v>0</v>
      </c>
      <c r="AN59" s="44">
        <v>21</v>
      </c>
      <c r="AO59" s="44">
        <f>K59*0.0499903119550475</f>
        <v>0</v>
      </c>
      <c r="AP59" s="44">
        <f>K59*(1-0.0499903119550475)</f>
        <v>0</v>
      </c>
      <c r="AQ59" s="45" t="s">
        <v>80</v>
      </c>
      <c r="AV59" s="44">
        <f t="shared" si="12"/>
        <v>0</v>
      </c>
      <c r="AW59" s="44">
        <f t="shared" si="13"/>
        <v>0</v>
      </c>
      <c r="AX59" s="44">
        <f t="shared" si="14"/>
        <v>0</v>
      </c>
      <c r="AY59" s="45" t="s">
        <v>159</v>
      </c>
      <c r="AZ59" s="45" t="s">
        <v>160</v>
      </c>
      <c r="BA59" s="24" t="s">
        <v>56</v>
      </c>
      <c r="BC59" s="44">
        <f t="shared" si="15"/>
        <v>0</v>
      </c>
      <c r="BD59" s="44">
        <f t="shared" si="16"/>
        <v>0</v>
      </c>
      <c r="BE59" s="44">
        <v>0</v>
      </c>
      <c r="BF59" s="44">
        <f>59</f>
        <v>59</v>
      </c>
      <c r="BH59" s="44">
        <f t="shared" si="17"/>
        <v>0</v>
      </c>
      <c r="BI59" s="44">
        <f t="shared" si="18"/>
        <v>0</v>
      </c>
      <c r="BJ59" s="44">
        <f t="shared" si="19"/>
        <v>0</v>
      </c>
      <c r="BK59" s="44" t="s">
        <v>57</v>
      </c>
      <c r="BL59" s="44">
        <v>721</v>
      </c>
    </row>
    <row r="60" spans="1:64" ht="19.5" customHeight="1">
      <c r="A60" s="38" t="s">
        <v>201</v>
      </c>
      <c r="B60" s="39" t="s">
        <v>202</v>
      </c>
      <c r="C60" s="39" t="s">
        <v>203</v>
      </c>
      <c r="D60" s="39"/>
      <c r="E60" s="39"/>
      <c r="F60" s="39"/>
      <c r="G60" s="39"/>
      <c r="H60" s="39"/>
      <c r="I60" s="39" t="s">
        <v>204</v>
      </c>
      <c r="J60" s="42">
        <v>1</v>
      </c>
      <c r="K60" s="41">
        <v>0</v>
      </c>
      <c r="L60" s="42">
        <f t="shared" si="0"/>
        <v>0</v>
      </c>
      <c r="M60" s="43" t="s">
        <v>53</v>
      </c>
      <c r="N60" s="8"/>
      <c r="Z60" s="44">
        <f t="shared" si="1"/>
        <v>0</v>
      </c>
      <c r="AB60" s="44">
        <f t="shared" si="2"/>
        <v>0</v>
      </c>
      <c r="AC60" s="44">
        <f t="shared" si="3"/>
        <v>0</v>
      </c>
      <c r="AD60" s="44">
        <f t="shared" si="4"/>
        <v>0</v>
      </c>
      <c r="AE60" s="44">
        <f t="shared" si="5"/>
        <v>0</v>
      </c>
      <c r="AF60" s="44">
        <f t="shared" si="6"/>
        <v>0</v>
      </c>
      <c r="AG60" s="44">
        <f t="shared" si="7"/>
        <v>0</v>
      </c>
      <c r="AH60" s="44">
        <f t="shared" si="8"/>
        <v>0</v>
      </c>
      <c r="AI60" s="24"/>
      <c r="AJ60" s="44">
        <f t="shared" si="9"/>
        <v>0</v>
      </c>
      <c r="AK60" s="44">
        <f t="shared" si="10"/>
        <v>0</v>
      </c>
      <c r="AL60" s="44">
        <f t="shared" si="11"/>
        <v>0</v>
      </c>
      <c r="AN60" s="44">
        <v>21</v>
      </c>
      <c r="AO60" s="44">
        <f>K60*0</f>
        <v>0</v>
      </c>
      <c r="AP60" s="44">
        <f>K60*(1-0)</f>
        <v>0</v>
      </c>
      <c r="AQ60" s="45" t="s">
        <v>80</v>
      </c>
      <c r="AV60" s="44">
        <f t="shared" si="12"/>
        <v>0</v>
      </c>
      <c r="AW60" s="44">
        <f t="shared" si="13"/>
        <v>0</v>
      </c>
      <c r="AX60" s="44">
        <f t="shared" si="14"/>
        <v>0</v>
      </c>
      <c r="AY60" s="45" t="s">
        <v>159</v>
      </c>
      <c r="AZ60" s="45" t="s">
        <v>160</v>
      </c>
      <c r="BA60" s="24" t="s">
        <v>56</v>
      </c>
      <c r="BC60" s="44">
        <f t="shared" si="15"/>
        <v>0</v>
      </c>
      <c r="BD60" s="44">
        <f t="shared" si="16"/>
        <v>0</v>
      </c>
      <c r="BE60" s="44">
        <v>0</v>
      </c>
      <c r="BF60" s="44">
        <f>60</f>
        <v>60</v>
      </c>
      <c r="BH60" s="44">
        <f t="shared" si="17"/>
        <v>0</v>
      </c>
      <c r="BI60" s="44">
        <f t="shared" si="18"/>
        <v>0</v>
      </c>
      <c r="BJ60" s="44">
        <f t="shared" si="19"/>
        <v>0</v>
      </c>
      <c r="BK60" s="44" t="s">
        <v>57</v>
      </c>
      <c r="BL60" s="44">
        <v>721</v>
      </c>
    </row>
    <row r="61" spans="1:64" ht="19.5" customHeight="1">
      <c r="A61" s="38" t="s">
        <v>205</v>
      </c>
      <c r="B61" s="39" t="s">
        <v>206</v>
      </c>
      <c r="C61" s="39" t="s">
        <v>207</v>
      </c>
      <c r="D61" s="39"/>
      <c r="E61" s="39"/>
      <c r="F61" s="39"/>
      <c r="G61" s="39"/>
      <c r="H61" s="39"/>
      <c r="I61" s="39" t="s">
        <v>204</v>
      </c>
      <c r="J61" s="42">
        <v>1</v>
      </c>
      <c r="K61" s="41">
        <v>0</v>
      </c>
      <c r="L61" s="42">
        <f t="shared" si="0"/>
        <v>0</v>
      </c>
      <c r="M61" s="43" t="s">
        <v>53</v>
      </c>
      <c r="N61" s="8"/>
      <c r="Z61" s="44">
        <f t="shared" si="1"/>
        <v>0</v>
      </c>
      <c r="AB61" s="44">
        <f t="shared" si="2"/>
        <v>0</v>
      </c>
      <c r="AC61" s="44">
        <f t="shared" si="3"/>
        <v>0</v>
      </c>
      <c r="AD61" s="44">
        <f t="shared" si="4"/>
        <v>0</v>
      </c>
      <c r="AE61" s="44">
        <f t="shared" si="5"/>
        <v>0</v>
      </c>
      <c r="AF61" s="44">
        <f t="shared" si="6"/>
        <v>0</v>
      </c>
      <c r="AG61" s="44">
        <f t="shared" si="7"/>
        <v>0</v>
      </c>
      <c r="AH61" s="44">
        <f t="shared" si="8"/>
        <v>0</v>
      </c>
      <c r="AI61" s="24"/>
      <c r="AJ61" s="44">
        <f t="shared" si="9"/>
        <v>0</v>
      </c>
      <c r="AK61" s="44">
        <f t="shared" si="10"/>
        <v>0</v>
      </c>
      <c r="AL61" s="44">
        <f t="shared" si="11"/>
        <v>0</v>
      </c>
      <c r="AN61" s="44">
        <v>21</v>
      </c>
      <c r="AO61" s="44">
        <f>K61*0</f>
        <v>0</v>
      </c>
      <c r="AP61" s="44">
        <f>K61*(1-0)</f>
        <v>0</v>
      </c>
      <c r="AQ61" s="45" t="s">
        <v>80</v>
      </c>
      <c r="AV61" s="44">
        <f t="shared" si="12"/>
        <v>0</v>
      </c>
      <c r="AW61" s="44">
        <f t="shared" si="13"/>
        <v>0</v>
      </c>
      <c r="AX61" s="44">
        <f t="shared" si="14"/>
        <v>0</v>
      </c>
      <c r="AY61" s="45" t="s">
        <v>159</v>
      </c>
      <c r="AZ61" s="45" t="s">
        <v>160</v>
      </c>
      <c r="BA61" s="24" t="s">
        <v>56</v>
      </c>
      <c r="BC61" s="44">
        <f t="shared" si="15"/>
        <v>0</v>
      </c>
      <c r="BD61" s="44">
        <f t="shared" si="16"/>
        <v>0</v>
      </c>
      <c r="BE61" s="44">
        <v>0</v>
      </c>
      <c r="BF61" s="44">
        <f>61</f>
        <v>61</v>
      </c>
      <c r="BH61" s="44">
        <f t="shared" si="17"/>
        <v>0</v>
      </c>
      <c r="BI61" s="44">
        <f t="shared" si="18"/>
        <v>0</v>
      </c>
      <c r="BJ61" s="44">
        <f t="shared" si="19"/>
        <v>0</v>
      </c>
      <c r="BK61" s="44" t="s">
        <v>57</v>
      </c>
      <c r="BL61" s="44">
        <v>721</v>
      </c>
    </row>
    <row r="62" spans="1:47" ht="19.5" customHeight="1">
      <c r="A62" s="46"/>
      <c r="B62" s="47" t="s">
        <v>208</v>
      </c>
      <c r="C62" s="47" t="s">
        <v>209</v>
      </c>
      <c r="D62" s="47"/>
      <c r="E62" s="47"/>
      <c r="F62" s="47"/>
      <c r="G62" s="47"/>
      <c r="H62" s="47"/>
      <c r="I62" s="48" t="s">
        <v>4</v>
      </c>
      <c r="J62" s="48" t="s">
        <v>4</v>
      </c>
      <c r="K62" s="48" t="s">
        <v>4</v>
      </c>
      <c r="L62" s="49">
        <f>SUM(L63:L63)</f>
        <v>0</v>
      </c>
      <c r="M62" s="50"/>
      <c r="N62" s="8"/>
      <c r="AI62" s="24"/>
      <c r="AS62" s="37">
        <f>SUM(AJ63:AJ63)</f>
        <v>0</v>
      </c>
      <c r="AT62" s="37">
        <f>SUM(AK63:AK63)</f>
        <v>0</v>
      </c>
      <c r="AU62" s="37">
        <f>SUM(AL63:AL63)</f>
        <v>0</v>
      </c>
    </row>
    <row r="63" spans="1:64" ht="19.5" customHeight="1">
      <c r="A63" s="38" t="s">
        <v>210</v>
      </c>
      <c r="B63" s="39" t="s">
        <v>211</v>
      </c>
      <c r="C63" s="39" t="s">
        <v>212</v>
      </c>
      <c r="D63" s="39"/>
      <c r="E63" s="39"/>
      <c r="F63" s="39"/>
      <c r="G63" s="39"/>
      <c r="H63" s="39"/>
      <c r="I63" s="39" t="s">
        <v>213</v>
      </c>
      <c r="J63" s="42">
        <v>1</v>
      </c>
      <c r="K63" s="41">
        <v>0</v>
      </c>
      <c r="L63" s="42">
        <f>J63*K63</f>
        <v>0</v>
      </c>
      <c r="M63" s="43" t="s">
        <v>53</v>
      </c>
      <c r="N63" s="8"/>
      <c r="Z63" s="44">
        <f>IF(AQ63="5",BJ63,0)</f>
        <v>0</v>
      </c>
      <c r="AB63" s="44">
        <f>IF(AQ63="1",BH63,0)</f>
        <v>0</v>
      </c>
      <c r="AC63" s="44">
        <f>IF(AQ63="1",BI63,0)</f>
        <v>0</v>
      </c>
      <c r="AD63" s="44">
        <f>IF(AQ63="7",BH63,0)</f>
        <v>0</v>
      </c>
      <c r="AE63" s="44">
        <f>IF(AQ63="7",BI63,0)</f>
        <v>0</v>
      </c>
      <c r="AF63" s="44">
        <f>IF(AQ63="2",BH63,0)</f>
        <v>0</v>
      </c>
      <c r="AG63" s="44">
        <f>IF(AQ63="2",BI63,0)</f>
        <v>0</v>
      </c>
      <c r="AH63" s="44">
        <f>IF(AQ63="0",BJ63,0)</f>
        <v>0</v>
      </c>
      <c r="AI63" s="24"/>
      <c r="AJ63" s="44">
        <f>IF(AN63=0,L63,0)</f>
        <v>0</v>
      </c>
      <c r="AK63" s="44">
        <f>IF(AN63=15,L63,0)</f>
        <v>0</v>
      </c>
      <c r="AL63" s="44">
        <f>IF(AN63=21,L63,0)</f>
        <v>0</v>
      </c>
      <c r="AN63" s="44">
        <v>21</v>
      </c>
      <c r="AO63" s="44">
        <f>K63*0.551764727520185</f>
        <v>0</v>
      </c>
      <c r="AP63" s="44">
        <f>K63*(1-0.551764727520185)</f>
        <v>0</v>
      </c>
      <c r="AQ63" s="45" t="s">
        <v>80</v>
      </c>
      <c r="AV63" s="44">
        <f>AW63+AX63</f>
        <v>0</v>
      </c>
      <c r="AW63" s="44">
        <f>J63*AO63</f>
        <v>0</v>
      </c>
      <c r="AX63" s="44">
        <f>J63*AP63</f>
        <v>0</v>
      </c>
      <c r="AY63" s="45" t="s">
        <v>214</v>
      </c>
      <c r="AZ63" s="45" t="s">
        <v>160</v>
      </c>
      <c r="BA63" s="24" t="s">
        <v>56</v>
      </c>
      <c r="BC63" s="44">
        <f>AW63+AX63</f>
        <v>0</v>
      </c>
      <c r="BD63" s="44">
        <f>K63/(100-BE63)*100</f>
        <v>0</v>
      </c>
      <c r="BE63" s="44">
        <v>0</v>
      </c>
      <c r="BF63" s="44">
        <f>63</f>
        <v>63</v>
      </c>
      <c r="BH63" s="44">
        <f>J63*AO63</f>
        <v>0</v>
      </c>
      <c r="BI63" s="44">
        <f>J63*AP63</f>
        <v>0</v>
      </c>
      <c r="BJ63" s="44">
        <f>J63*K63</f>
        <v>0</v>
      </c>
      <c r="BK63" s="44" t="s">
        <v>57</v>
      </c>
      <c r="BL63" s="44">
        <v>723</v>
      </c>
    </row>
    <row r="64" spans="1:47" ht="19.5" customHeight="1">
      <c r="A64" s="46"/>
      <c r="B64" s="47" t="s">
        <v>215</v>
      </c>
      <c r="C64" s="47" t="s">
        <v>216</v>
      </c>
      <c r="D64" s="47"/>
      <c r="E64" s="47"/>
      <c r="F64" s="47"/>
      <c r="G64" s="47"/>
      <c r="H64" s="47"/>
      <c r="I64" s="48" t="s">
        <v>4</v>
      </c>
      <c r="J64" s="48" t="s">
        <v>4</v>
      </c>
      <c r="K64" s="48" t="s">
        <v>4</v>
      </c>
      <c r="L64" s="49">
        <f>SUM(L65:L68)</f>
        <v>0</v>
      </c>
      <c r="M64" s="50"/>
      <c r="N64" s="8"/>
      <c r="AI64" s="24"/>
      <c r="AS64" s="37">
        <f>SUM(AJ65:AJ68)</f>
        <v>0</v>
      </c>
      <c r="AT64" s="37">
        <f>SUM(AK65:AK68)</f>
        <v>0</v>
      </c>
      <c r="AU64" s="37">
        <f>SUM(AL65:AL68)</f>
        <v>0</v>
      </c>
    </row>
    <row r="65" spans="1:64" ht="19.5" customHeight="1">
      <c r="A65" s="38" t="s">
        <v>217</v>
      </c>
      <c r="B65" s="39" t="s">
        <v>218</v>
      </c>
      <c r="C65" s="39" t="s">
        <v>219</v>
      </c>
      <c r="D65" s="39"/>
      <c r="E65" s="39"/>
      <c r="F65" s="39"/>
      <c r="G65" s="39"/>
      <c r="H65" s="39"/>
      <c r="I65" s="39" t="s">
        <v>170</v>
      </c>
      <c r="J65" s="42">
        <v>1</v>
      </c>
      <c r="K65" s="41">
        <v>0</v>
      </c>
      <c r="L65" s="42">
        <f>J65*K65</f>
        <v>0</v>
      </c>
      <c r="M65" s="43" t="s">
        <v>53</v>
      </c>
      <c r="N65" s="8"/>
      <c r="Z65" s="44">
        <f>IF(AQ65="5",BJ65,0)</f>
        <v>0</v>
      </c>
      <c r="AB65" s="44">
        <f>IF(AQ65="1",BH65,0)</f>
        <v>0</v>
      </c>
      <c r="AC65" s="44">
        <f>IF(AQ65="1",BI65,0)</f>
        <v>0</v>
      </c>
      <c r="AD65" s="44">
        <f>IF(AQ65="7",BH65,0)</f>
        <v>0</v>
      </c>
      <c r="AE65" s="44">
        <f>IF(AQ65="7",BI65,0)</f>
        <v>0</v>
      </c>
      <c r="AF65" s="44">
        <f>IF(AQ65="2",BH65,0)</f>
        <v>0</v>
      </c>
      <c r="AG65" s="44">
        <f>IF(AQ65="2",BI65,0)</f>
        <v>0</v>
      </c>
      <c r="AH65" s="44">
        <f>IF(AQ65="0",BJ65,0)</f>
        <v>0</v>
      </c>
      <c r="AI65" s="24"/>
      <c r="AJ65" s="44">
        <f>IF(AN65=0,L65,0)</f>
        <v>0</v>
      </c>
      <c r="AK65" s="44">
        <f>IF(AN65=15,L65,0)</f>
        <v>0</v>
      </c>
      <c r="AL65" s="44">
        <f>IF(AN65=21,L65,0)</f>
        <v>0</v>
      </c>
      <c r="AN65" s="44">
        <v>21</v>
      </c>
      <c r="AO65" s="44">
        <f>K65*0.85946511627907</f>
        <v>0</v>
      </c>
      <c r="AP65" s="44">
        <f>K65*(1-0.85946511627907)</f>
        <v>0</v>
      </c>
      <c r="AQ65" s="45" t="s">
        <v>80</v>
      </c>
      <c r="AV65" s="44">
        <f>AW65+AX65</f>
        <v>0</v>
      </c>
      <c r="AW65" s="44">
        <f>J65*AO65</f>
        <v>0</v>
      </c>
      <c r="AX65" s="44">
        <f>J65*AP65</f>
        <v>0</v>
      </c>
      <c r="AY65" s="45" t="s">
        <v>220</v>
      </c>
      <c r="AZ65" s="45" t="s">
        <v>160</v>
      </c>
      <c r="BA65" s="24" t="s">
        <v>56</v>
      </c>
      <c r="BB65" s="24" t="s">
        <v>221</v>
      </c>
      <c r="BC65" s="44">
        <f>AW65+AX65</f>
        <v>0</v>
      </c>
      <c r="BD65" s="44">
        <f>K65/(100-BE65)*100</f>
        <v>0</v>
      </c>
      <c r="BE65" s="44">
        <v>0</v>
      </c>
      <c r="BF65" s="44">
        <f>65</f>
        <v>65</v>
      </c>
      <c r="BH65" s="44">
        <f>J65*AO65</f>
        <v>0</v>
      </c>
      <c r="BI65" s="44">
        <f>J65*AP65</f>
        <v>0</v>
      </c>
      <c r="BJ65" s="44">
        <f>J65*K65</f>
        <v>0</v>
      </c>
      <c r="BK65" s="44" t="s">
        <v>57</v>
      </c>
      <c r="BL65" s="44">
        <v>725</v>
      </c>
    </row>
    <row r="66" spans="1:64" ht="19.5" customHeight="1">
      <c r="A66" s="38" t="s">
        <v>222</v>
      </c>
      <c r="B66" s="39" t="s">
        <v>223</v>
      </c>
      <c r="C66" s="39" t="s">
        <v>224</v>
      </c>
      <c r="D66" s="39"/>
      <c r="E66" s="39"/>
      <c r="F66" s="39"/>
      <c r="G66" s="39"/>
      <c r="H66" s="39"/>
      <c r="I66" s="39" t="s">
        <v>170</v>
      </c>
      <c r="J66" s="42">
        <v>2</v>
      </c>
      <c r="K66" s="41">
        <v>0</v>
      </c>
      <c r="L66" s="42">
        <f>J66*K66</f>
        <v>0</v>
      </c>
      <c r="M66" s="43" t="s">
        <v>53</v>
      </c>
      <c r="N66" s="8"/>
      <c r="Z66" s="44">
        <f>IF(AQ66="5",BJ66,0)</f>
        <v>0</v>
      </c>
      <c r="AB66" s="44">
        <f>IF(AQ66="1",BH66,0)</f>
        <v>0</v>
      </c>
      <c r="AC66" s="44">
        <f>IF(AQ66="1",BI66,0)</f>
        <v>0</v>
      </c>
      <c r="AD66" s="44">
        <f>IF(AQ66="7",BH66,0)</f>
        <v>0</v>
      </c>
      <c r="AE66" s="44">
        <f>IF(AQ66="7",BI66,0)</f>
        <v>0</v>
      </c>
      <c r="AF66" s="44">
        <f>IF(AQ66="2",BH66,0)</f>
        <v>0</v>
      </c>
      <c r="AG66" s="44">
        <f>IF(AQ66="2",BI66,0)</f>
        <v>0</v>
      </c>
      <c r="AH66" s="44">
        <f>IF(AQ66="0",BJ66,0)</f>
        <v>0</v>
      </c>
      <c r="AI66" s="24"/>
      <c r="AJ66" s="44">
        <f>IF(AN66=0,L66,0)</f>
        <v>0</v>
      </c>
      <c r="AK66" s="44">
        <f>IF(AN66=15,L66,0)</f>
        <v>0</v>
      </c>
      <c r="AL66" s="44">
        <f>IF(AN66=21,L66,0)</f>
        <v>0</v>
      </c>
      <c r="AN66" s="44">
        <v>21</v>
      </c>
      <c r="AO66" s="44">
        <f>K66*0.657902777777778</f>
        <v>0</v>
      </c>
      <c r="AP66" s="44">
        <f>K66*(1-0.657902777777778)</f>
        <v>0</v>
      </c>
      <c r="AQ66" s="45" t="s">
        <v>80</v>
      </c>
      <c r="AV66" s="44">
        <f>AW66+AX66</f>
        <v>0</v>
      </c>
      <c r="AW66" s="44">
        <f>J66*AO66</f>
        <v>0</v>
      </c>
      <c r="AX66" s="44">
        <f>J66*AP66</f>
        <v>0</v>
      </c>
      <c r="AY66" s="45" t="s">
        <v>220</v>
      </c>
      <c r="AZ66" s="45" t="s">
        <v>160</v>
      </c>
      <c r="BA66" s="24" t="s">
        <v>56</v>
      </c>
      <c r="BC66" s="44">
        <f>AW66+AX66</f>
        <v>0</v>
      </c>
      <c r="BD66" s="44">
        <f>K66/(100-BE66)*100</f>
        <v>0</v>
      </c>
      <c r="BE66" s="44">
        <v>0</v>
      </c>
      <c r="BF66" s="44">
        <f>66</f>
        <v>66</v>
      </c>
      <c r="BH66" s="44">
        <f>J66*AO66</f>
        <v>0</v>
      </c>
      <c r="BI66" s="44">
        <f>J66*AP66</f>
        <v>0</v>
      </c>
      <c r="BJ66" s="44">
        <f>J66*K66</f>
        <v>0</v>
      </c>
      <c r="BK66" s="44" t="s">
        <v>57</v>
      </c>
      <c r="BL66" s="44">
        <v>725</v>
      </c>
    </row>
    <row r="67" spans="1:64" ht="19.5" customHeight="1">
      <c r="A67" s="38" t="s">
        <v>225</v>
      </c>
      <c r="B67" s="39" t="s">
        <v>226</v>
      </c>
      <c r="C67" s="39" t="s">
        <v>227</v>
      </c>
      <c r="D67" s="39"/>
      <c r="E67" s="39"/>
      <c r="F67" s="39"/>
      <c r="G67" s="39"/>
      <c r="H67" s="39"/>
      <c r="I67" s="39" t="s">
        <v>170</v>
      </c>
      <c r="J67" s="42">
        <v>10</v>
      </c>
      <c r="K67" s="41">
        <v>0</v>
      </c>
      <c r="L67" s="42">
        <f>J67*K67</f>
        <v>0</v>
      </c>
      <c r="M67" s="43" t="s">
        <v>53</v>
      </c>
      <c r="N67" s="8"/>
      <c r="Z67" s="44">
        <f>IF(AQ67="5",BJ67,0)</f>
        <v>0</v>
      </c>
      <c r="AB67" s="44">
        <f>IF(AQ67="1",BH67,0)</f>
        <v>0</v>
      </c>
      <c r="AC67" s="44">
        <f>IF(AQ67="1",BI67,0)</f>
        <v>0</v>
      </c>
      <c r="AD67" s="44">
        <f>IF(AQ67="7",BH67,0)</f>
        <v>0</v>
      </c>
      <c r="AE67" s="44">
        <f>IF(AQ67="7",BI67,0)</f>
        <v>0</v>
      </c>
      <c r="AF67" s="44">
        <f>IF(AQ67="2",BH67,0)</f>
        <v>0</v>
      </c>
      <c r="AG67" s="44">
        <f>IF(AQ67="2",BI67,0)</f>
        <v>0</v>
      </c>
      <c r="AH67" s="44">
        <f>IF(AQ67="0",BJ67,0)</f>
        <v>0</v>
      </c>
      <c r="AI67" s="24"/>
      <c r="AJ67" s="44">
        <f>IF(AN67=0,L67,0)</f>
        <v>0</v>
      </c>
      <c r="AK67" s="44">
        <f>IF(AN67=15,L67,0)</f>
        <v>0</v>
      </c>
      <c r="AL67" s="44">
        <f>IF(AN67=21,L67,0)</f>
        <v>0</v>
      </c>
      <c r="AN67" s="44">
        <v>21</v>
      </c>
      <c r="AO67" s="44">
        <f>K67*0.292965185142036</f>
        <v>0</v>
      </c>
      <c r="AP67" s="44">
        <f>K67*(1-0.292965185142036)</f>
        <v>0</v>
      </c>
      <c r="AQ67" s="45" t="s">
        <v>80</v>
      </c>
      <c r="AV67" s="44">
        <f>AW67+AX67</f>
        <v>0</v>
      </c>
      <c r="AW67" s="44">
        <f>J67*AO67</f>
        <v>0</v>
      </c>
      <c r="AX67" s="44">
        <f>J67*AP67</f>
        <v>0</v>
      </c>
      <c r="AY67" s="45" t="s">
        <v>220</v>
      </c>
      <c r="AZ67" s="45" t="s">
        <v>160</v>
      </c>
      <c r="BA67" s="24" t="s">
        <v>56</v>
      </c>
      <c r="BC67" s="44">
        <f>AW67+AX67</f>
        <v>0</v>
      </c>
      <c r="BD67" s="44">
        <f>K67/(100-BE67)*100</f>
        <v>0</v>
      </c>
      <c r="BE67" s="44">
        <v>0</v>
      </c>
      <c r="BF67" s="44">
        <f>67</f>
        <v>67</v>
      </c>
      <c r="BH67" s="44">
        <f>J67*AO67</f>
        <v>0</v>
      </c>
      <c r="BI67" s="44">
        <f>J67*AP67</f>
        <v>0</v>
      </c>
      <c r="BJ67" s="44">
        <f>J67*K67</f>
        <v>0</v>
      </c>
      <c r="BK67" s="44" t="s">
        <v>57</v>
      </c>
      <c r="BL67" s="44">
        <v>725</v>
      </c>
    </row>
    <row r="68" spans="1:64" ht="19.5" customHeight="1">
      <c r="A68" s="38" t="s">
        <v>228</v>
      </c>
      <c r="B68" s="39" t="s">
        <v>229</v>
      </c>
      <c r="C68" s="39" t="s">
        <v>230</v>
      </c>
      <c r="D68" s="39"/>
      <c r="E68" s="39"/>
      <c r="F68" s="39"/>
      <c r="G68" s="39"/>
      <c r="H68" s="39"/>
      <c r="I68" s="39" t="s">
        <v>213</v>
      </c>
      <c r="J68" s="42">
        <v>1</v>
      </c>
      <c r="K68" s="41">
        <v>0</v>
      </c>
      <c r="L68" s="42">
        <f>J68*K68</f>
        <v>0</v>
      </c>
      <c r="M68" s="43" t="s">
        <v>53</v>
      </c>
      <c r="N68" s="8"/>
      <c r="Z68" s="44">
        <f>IF(AQ68="5",BJ68,0)</f>
        <v>0</v>
      </c>
      <c r="AB68" s="44">
        <f>IF(AQ68="1",BH68,0)</f>
        <v>0</v>
      </c>
      <c r="AC68" s="44">
        <f>IF(AQ68="1",BI68,0)</f>
        <v>0</v>
      </c>
      <c r="AD68" s="44">
        <f>IF(AQ68="7",BH68,0)</f>
        <v>0</v>
      </c>
      <c r="AE68" s="44">
        <f>IF(AQ68="7",BI68,0)</f>
        <v>0</v>
      </c>
      <c r="AF68" s="44">
        <f>IF(AQ68="2",BH68,0)</f>
        <v>0</v>
      </c>
      <c r="AG68" s="44">
        <f>IF(AQ68="2",BI68,0)</f>
        <v>0</v>
      </c>
      <c r="AH68" s="44">
        <f>IF(AQ68="0",BJ68,0)</f>
        <v>0</v>
      </c>
      <c r="AI68" s="24"/>
      <c r="AJ68" s="44">
        <f>IF(AN68=0,L68,0)</f>
        <v>0</v>
      </c>
      <c r="AK68" s="44">
        <f>IF(AN68=15,L68,0)</f>
        <v>0</v>
      </c>
      <c r="AL68" s="44">
        <f>IF(AN68=21,L68,0)</f>
        <v>0</v>
      </c>
      <c r="AN68" s="44">
        <v>21</v>
      </c>
      <c r="AO68" s="44">
        <f>K68*0.732586931904998</f>
        <v>0</v>
      </c>
      <c r="AP68" s="44">
        <f>K68*(1-0.732586931904998)</f>
        <v>0</v>
      </c>
      <c r="AQ68" s="45" t="s">
        <v>80</v>
      </c>
      <c r="AV68" s="44">
        <f>AW68+AX68</f>
        <v>0</v>
      </c>
      <c r="AW68" s="44">
        <f>J68*AO68</f>
        <v>0</v>
      </c>
      <c r="AX68" s="44">
        <f>J68*AP68</f>
        <v>0</v>
      </c>
      <c r="AY68" s="45" t="s">
        <v>220</v>
      </c>
      <c r="AZ68" s="45" t="s">
        <v>160</v>
      </c>
      <c r="BA68" s="24" t="s">
        <v>56</v>
      </c>
      <c r="BC68" s="44">
        <f>AW68+AX68</f>
        <v>0</v>
      </c>
      <c r="BD68" s="44">
        <f>K68/(100-BE68)*100</f>
        <v>0</v>
      </c>
      <c r="BE68" s="44">
        <v>0</v>
      </c>
      <c r="BF68" s="44">
        <f>68</f>
        <v>68</v>
      </c>
      <c r="BH68" s="44">
        <f>J68*AO68</f>
        <v>0</v>
      </c>
      <c r="BI68" s="44">
        <f>J68*AP68</f>
        <v>0</v>
      </c>
      <c r="BJ68" s="44">
        <f>J68*K68</f>
        <v>0</v>
      </c>
      <c r="BK68" s="44" t="s">
        <v>57</v>
      </c>
      <c r="BL68" s="44">
        <v>725</v>
      </c>
    </row>
    <row r="69" spans="1:47" ht="19.5" customHeight="1">
      <c r="A69" s="46"/>
      <c r="B69" s="47" t="s">
        <v>231</v>
      </c>
      <c r="C69" s="47" t="s">
        <v>232</v>
      </c>
      <c r="D69" s="47"/>
      <c r="E69" s="47"/>
      <c r="F69" s="47"/>
      <c r="G69" s="47"/>
      <c r="H69" s="47"/>
      <c r="I69" s="48" t="s">
        <v>4</v>
      </c>
      <c r="J69" s="48" t="s">
        <v>4</v>
      </c>
      <c r="K69" s="48" t="s">
        <v>4</v>
      </c>
      <c r="L69" s="49">
        <f>SUM(L70:L75)</f>
        <v>0</v>
      </c>
      <c r="M69" s="50"/>
      <c r="N69" s="8"/>
      <c r="AI69" s="24"/>
      <c r="AS69" s="37">
        <f>SUM(AJ70:AJ75)</f>
        <v>0</v>
      </c>
      <c r="AT69" s="37">
        <f>SUM(AK70:AK75)</f>
        <v>0</v>
      </c>
      <c r="AU69" s="37">
        <f>SUM(AL70:AL75)</f>
        <v>0</v>
      </c>
    </row>
    <row r="70" spans="1:64" ht="19.5" customHeight="1">
      <c r="A70" s="38" t="s">
        <v>233</v>
      </c>
      <c r="B70" s="39" t="s">
        <v>234</v>
      </c>
      <c r="C70" s="39" t="s">
        <v>235</v>
      </c>
      <c r="D70" s="39"/>
      <c r="E70" s="39"/>
      <c r="F70" s="39"/>
      <c r="G70" s="39"/>
      <c r="H70" s="39"/>
      <c r="I70" s="39" t="s">
        <v>78</v>
      </c>
      <c r="J70" s="42">
        <v>19</v>
      </c>
      <c r="K70" s="51">
        <v>0</v>
      </c>
      <c r="L70" s="42">
        <f aca="true" t="shared" si="20" ref="L70:L75">J70*K70</f>
        <v>0</v>
      </c>
      <c r="M70" s="43" t="s">
        <v>53</v>
      </c>
      <c r="N70" s="8"/>
      <c r="Z70" s="44">
        <f aca="true" t="shared" si="21" ref="Z70:Z75">IF(AQ70="5",BJ70,0)</f>
        <v>0</v>
      </c>
      <c r="AB70" s="44">
        <f aca="true" t="shared" si="22" ref="AB70:AB75">IF(AQ70="1",BH70,0)</f>
        <v>0</v>
      </c>
      <c r="AC70" s="44">
        <f aca="true" t="shared" si="23" ref="AC70:AC75">IF(AQ70="1",BI70,0)</f>
        <v>0</v>
      </c>
      <c r="AD70" s="44">
        <f aca="true" t="shared" si="24" ref="AD70:AD75">IF(AQ70="7",BH70,0)</f>
        <v>0</v>
      </c>
      <c r="AE70" s="44">
        <f aca="true" t="shared" si="25" ref="AE70:AE75">IF(AQ70="7",BI70,0)</f>
        <v>0</v>
      </c>
      <c r="AF70" s="44">
        <f aca="true" t="shared" si="26" ref="AF70:AF75">IF(AQ70="2",BH70,0)</f>
        <v>0</v>
      </c>
      <c r="AG70" s="44">
        <f aca="true" t="shared" si="27" ref="AG70:AG75">IF(AQ70="2",BI70,0)</f>
        <v>0</v>
      </c>
      <c r="AH70" s="44">
        <f aca="true" t="shared" si="28" ref="AH70:AH75">IF(AQ70="0",BJ70,0)</f>
        <v>0</v>
      </c>
      <c r="AI70" s="24"/>
      <c r="AJ70" s="44">
        <f aca="true" t="shared" si="29" ref="AJ70:AJ75">IF(AN70=0,L70,0)</f>
        <v>0</v>
      </c>
      <c r="AK70" s="44">
        <f aca="true" t="shared" si="30" ref="AK70:AK75">IF(AN70=15,L70,0)</f>
        <v>0</v>
      </c>
      <c r="AL70" s="44">
        <f aca="true" t="shared" si="31" ref="AL70:AL75">IF(AN70=21,L70,0)</f>
        <v>0</v>
      </c>
      <c r="AN70" s="44">
        <v>21</v>
      </c>
      <c r="AO70" s="44">
        <f>K70*0</f>
        <v>0</v>
      </c>
      <c r="AP70" s="44">
        <f>K70*(1-0)</f>
        <v>0</v>
      </c>
      <c r="AQ70" s="45" t="s">
        <v>80</v>
      </c>
      <c r="AV70" s="44">
        <f aca="true" t="shared" si="32" ref="AV70:AV75">AW70+AX70</f>
        <v>0</v>
      </c>
      <c r="AW70" s="44">
        <f aca="true" t="shared" si="33" ref="AW70:AW75">J70*AO70</f>
        <v>0</v>
      </c>
      <c r="AX70" s="44">
        <f aca="true" t="shared" si="34" ref="AX70:AX75">J70*AP70</f>
        <v>0</v>
      </c>
      <c r="AY70" s="45" t="s">
        <v>236</v>
      </c>
      <c r="AZ70" s="45" t="s">
        <v>237</v>
      </c>
      <c r="BA70" s="24" t="s">
        <v>56</v>
      </c>
      <c r="BC70" s="44">
        <f aca="true" t="shared" si="35" ref="BC70:BC75">AW70+AX70</f>
        <v>0</v>
      </c>
      <c r="BD70" s="44">
        <f aca="true" t="shared" si="36" ref="BD70:BD75">K70/(100-BE70)*100</f>
        <v>0</v>
      </c>
      <c r="BE70" s="44">
        <v>0</v>
      </c>
      <c r="BF70" s="44">
        <f>70</f>
        <v>70</v>
      </c>
      <c r="BH70" s="44">
        <f aca="true" t="shared" si="37" ref="BH70:BH75">J70*AO70</f>
        <v>0</v>
      </c>
      <c r="BI70" s="44">
        <f aca="true" t="shared" si="38" ref="BI70:BI75">J70*AP70</f>
        <v>0</v>
      </c>
      <c r="BJ70" s="44">
        <f aca="true" t="shared" si="39" ref="BJ70:BJ75">J70*K70</f>
        <v>0</v>
      </c>
      <c r="BK70" s="44" t="s">
        <v>57</v>
      </c>
      <c r="BL70" s="44">
        <v>771</v>
      </c>
    </row>
    <row r="71" spans="1:64" ht="19.5" customHeight="1">
      <c r="A71" s="38" t="s">
        <v>238</v>
      </c>
      <c r="B71" s="39" t="s">
        <v>239</v>
      </c>
      <c r="C71" s="39" t="s">
        <v>240</v>
      </c>
      <c r="D71" s="39"/>
      <c r="E71" s="39"/>
      <c r="F71" s="39"/>
      <c r="G71" s="39"/>
      <c r="H71" s="39"/>
      <c r="I71" s="39" t="s">
        <v>78</v>
      </c>
      <c r="J71" s="42">
        <v>19</v>
      </c>
      <c r="K71" s="51">
        <v>0</v>
      </c>
      <c r="L71" s="42">
        <f t="shared" si="20"/>
        <v>0</v>
      </c>
      <c r="M71" s="43" t="s">
        <v>53</v>
      </c>
      <c r="N71" s="8"/>
      <c r="Z71" s="44">
        <f t="shared" si="21"/>
        <v>0</v>
      </c>
      <c r="AB71" s="44">
        <f t="shared" si="22"/>
        <v>0</v>
      </c>
      <c r="AC71" s="44">
        <f t="shared" si="23"/>
        <v>0</v>
      </c>
      <c r="AD71" s="44">
        <f t="shared" si="24"/>
        <v>0</v>
      </c>
      <c r="AE71" s="44">
        <f t="shared" si="25"/>
        <v>0</v>
      </c>
      <c r="AF71" s="44">
        <f t="shared" si="26"/>
        <v>0</v>
      </c>
      <c r="AG71" s="44">
        <f t="shared" si="27"/>
        <v>0</v>
      </c>
      <c r="AH71" s="44">
        <f t="shared" si="28"/>
        <v>0</v>
      </c>
      <c r="AI71" s="24"/>
      <c r="AJ71" s="44">
        <f t="shared" si="29"/>
        <v>0</v>
      </c>
      <c r="AK71" s="44">
        <f t="shared" si="30"/>
        <v>0</v>
      </c>
      <c r="AL71" s="44">
        <f t="shared" si="31"/>
        <v>0</v>
      </c>
      <c r="AN71" s="44">
        <v>21</v>
      </c>
      <c r="AO71" s="44">
        <f>K71*0.780572419774501</f>
        <v>0</v>
      </c>
      <c r="AP71" s="44">
        <f>K71*(1-0.780572419774501)</f>
        <v>0</v>
      </c>
      <c r="AQ71" s="45" t="s">
        <v>80</v>
      </c>
      <c r="AV71" s="44">
        <f t="shared" si="32"/>
        <v>0</v>
      </c>
      <c r="AW71" s="44">
        <f t="shared" si="33"/>
        <v>0</v>
      </c>
      <c r="AX71" s="44">
        <f t="shared" si="34"/>
        <v>0</v>
      </c>
      <c r="AY71" s="45" t="s">
        <v>236</v>
      </c>
      <c r="AZ71" s="45" t="s">
        <v>237</v>
      </c>
      <c r="BA71" s="24" t="s">
        <v>56</v>
      </c>
      <c r="BC71" s="44">
        <f t="shared" si="35"/>
        <v>0</v>
      </c>
      <c r="BD71" s="44">
        <f t="shared" si="36"/>
        <v>0</v>
      </c>
      <c r="BE71" s="44">
        <v>0</v>
      </c>
      <c r="BF71" s="44">
        <f>71</f>
        <v>71</v>
      </c>
      <c r="BH71" s="44">
        <f t="shared" si="37"/>
        <v>0</v>
      </c>
      <c r="BI71" s="44">
        <f t="shared" si="38"/>
        <v>0</v>
      </c>
      <c r="BJ71" s="44">
        <f t="shared" si="39"/>
        <v>0</v>
      </c>
      <c r="BK71" s="44" t="s">
        <v>57</v>
      </c>
      <c r="BL71" s="44">
        <v>771</v>
      </c>
    </row>
    <row r="72" spans="1:64" ht="19.5" customHeight="1">
      <c r="A72" s="38" t="s">
        <v>241</v>
      </c>
      <c r="B72" s="39" t="s">
        <v>242</v>
      </c>
      <c r="C72" s="39" t="s">
        <v>243</v>
      </c>
      <c r="D72" s="39"/>
      <c r="E72" s="39"/>
      <c r="F72" s="39"/>
      <c r="G72" s="39"/>
      <c r="H72" s="39"/>
      <c r="I72" s="39" t="s">
        <v>78</v>
      </c>
      <c r="J72" s="42">
        <v>19</v>
      </c>
      <c r="K72" s="51">
        <v>0</v>
      </c>
      <c r="L72" s="42">
        <f t="shared" si="20"/>
        <v>0</v>
      </c>
      <c r="M72" s="43" t="s">
        <v>53</v>
      </c>
      <c r="N72" s="8"/>
      <c r="Z72" s="44">
        <f t="shared" si="21"/>
        <v>0</v>
      </c>
      <c r="AB72" s="44">
        <f t="shared" si="22"/>
        <v>0</v>
      </c>
      <c r="AC72" s="44">
        <f t="shared" si="23"/>
        <v>0</v>
      </c>
      <c r="AD72" s="44">
        <f t="shared" si="24"/>
        <v>0</v>
      </c>
      <c r="AE72" s="44">
        <f t="shared" si="25"/>
        <v>0</v>
      </c>
      <c r="AF72" s="44">
        <f t="shared" si="26"/>
        <v>0</v>
      </c>
      <c r="AG72" s="44">
        <f t="shared" si="27"/>
        <v>0</v>
      </c>
      <c r="AH72" s="44">
        <f t="shared" si="28"/>
        <v>0</v>
      </c>
      <c r="AI72" s="24"/>
      <c r="AJ72" s="44">
        <f t="shared" si="29"/>
        <v>0</v>
      </c>
      <c r="AK72" s="44">
        <f t="shared" si="30"/>
        <v>0</v>
      </c>
      <c r="AL72" s="44">
        <f t="shared" si="31"/>
        <v>0</v>
      </c>
      <c r="AN72" s="44">
        <v>21</v>
      </c>
      <c r="AO72" s="44">
        <f>K72*0.677100966170994</f>
        <v>0</v>
      </c>
      <c r="AP72" s="44">
        <f>K72*(1-0.677100966170994)</f>
        <v>0</v>
      </c>
      <c r="AQ72" s="45" t="s">
        <v>80</v>
      </c>
      <c r="AV72" s="44">
        <f t="shared" si="32"/>
        <v>0</v>
      </c>
      <c r="AW72" s="44">
        <f t="shared" si="33"/>
        <v>0</v>
      </c>
      <c r="AX72" s="44">
        <f t="shared" si="34"/>
        <v>0</v>
      </c>
      <c r="AY72" s="45" t="s">
        <v>236</v>
      </c>
      <c r="AZ72" s="45" t="s">
        <v>237</v>
      </c>
      <c r="BA72" s="24" t="s">
        <v>56</v>
      </c>
      <c r="BC72" s="44">
        <f t="shared" si="35"/>
        <v>0</v>
      </c>
      <c r="BD72" s="44">
        <f t="shared" si="36"/>
        <v>0</v>
      </c>
      <c r="BE72" s="44">
        <v>0</v>
      </c>
      <c r="BF72" s="44">
        <f>72</f>
        <v>72</v>
      </c>
      <c r="BH72" s="44">
        <f t="shared" si="37"/>
        <v>0</v>
      </c>
      <c r="BI72" s="44">
        <f t="shared" si="38"/>
        <v>0</v>
      </c>
      <c r="BJ72" s="44">
        <f t="shared" si="39"/>
        <v>0</v>
      </c>
      <c r="BK72" s="44" t="s">
        <v>57</v>
      </c>
      <c r="BL72" s="44">
        <v>771</v>
      </c>
    </row>
    <row r="73" spans="1:64" ht="19.5" customHeight="1">
      <c r="A73" s="38" t="s">
        <v>244</v>
      </c>
      <c r="B73" s="39" t="s">
        <v>245</v>
      </c>
      <c r="C73" s="39" t="s">
        <v>246</v>
      </c>
      <c r="D73" s="39"/>
      <c r="E73" s="39"/>
      <c r="F73" s="39"/>
      <c r="G73" s="39"/>
      <c r="H73" s="39"/>
      <c r="I73" s="39" t="s">
        <v>78</v>
      </c>
      <c r="J73" s="42">
        <v>19</v>
      </c>
      <c r="K73" s="51">
        <v>0</v>
      </c>
      <c r="L73" s="42">
        <f t="shared" si="20"/>
        <v>0</v>
      </c>
      <c r="M73" s="43" t="s">
        <v>53</v>
      </c>
      <c r="N73" s="8"/>
      <c r="Z73" s="44">
        <f t="shared" si="21"/>
        <v>0</v>
      </c>
      <c r="AB73" s="44">
        <f t="shared" si="22"/>
        <v>0</v>
      </c>
      <c r="AC73" s="44">
        <f t="shared" si="23"/>
        <v>0</v>
      </c>
      <c r="AD73" s="44">
        <f t="shared" si="24"/>
        <v>0</v>
      </c>
      <c r="AE73" s="44">
        <f t="shared" si="25"/>
        <v>0</v>
      </c>
      <c r="AF73" s="44">
        <f t="shared" si="26"/>
        <v>0</v>
      </c>
      <c r="AG73" s="44">
        <f t="shared" si="27"/>
        <v>0</v>
      </c>
      <c r="AH73" s="44">
        <f t="shared" si="28"/>
        <v>0</v>
      </c>
      <c r="AI73" s="24"/>
      <c r="AJ73" s="44">
        <f t="shared" si="29"/>
        <v>0</v>
      </c>
      <c r="AK73" s="44">
        <f t="shared" si="30"/>
        <v>0</v>
      </c>
      <c r="AL73" s="44">
        <f t="shared" si="31"/>
        <v>0</v>
      </c>
      <c r="AN73" s="44">
        <v>21</v>
      </c>
      <c r="AO73" s="44">
        <f>K73*0.491170431211499</f>
        <v>0</v>
      </c>
      <c r="AP73" s="44">
        <f>K73*(1-0.491170431211499)</f>
        <v>0</v>
      </c>
      <c r="AQ73" s="45" t="s">
        <v>80</v>
      </c>
      <c r="AV73" s="44">
        <f t="shared" si="32"/>
        <v>0</v>
      </c>
      <c r="AW73" s="44">
        <f t="shared" si="33"/>
        <v>0</v>
      </c>
      <c r="AX73" s="44">
        <f t="shared" si="34"/>
        <v>0</v>
      </c>
      <c r="AY73" s="45" t="s">
        <v>236</v>
      </c>
      <c r="AZ73" s="45" t="s">
        <v>237</v>
      </c>
      <c r="BA73" s="24" t="s">
        <v>56</v>
      </c>
      <c r="BC73" s="44">
        <f t="shared" si="35"/>
        <v>0</v>
      </c>
      <c r="BD73" s="44">
        <f t="shared" si="36"/>
        <v>0</v>
      </c>
      <c r="BE73" s="44">
        <v>0</v>
      </c>
      <c r="BF73" s="44">
        <f>73</f>
        <v>73</v>
      </c>
      <c r="BH73" s="44">
        <f t="shared" si="37"/>
        <v>0</v>
      </c>
      <c r="BI73" s="44">
        <f t="shared" si="38"/>
        <v>0</v>
      </c>
      <c r="BJ73" s="44">
        <f t="shared" si="39"/>
        <v>0</v>
      </c>
      <c r="BK73" s="44" t="s">
        <v>57</v>
      </c>
      <c r="BL73" s="44">
        <v>771</v>
      </c>
    </row>
    <row r="74" spans="1:64" ht="19.5" customHeight="1">
      <c r="A74" s="38" t="s">
        <v>247</v>
      </c>
      <c r="B74" s="39" t="s">
        <v>248</v>
      </c>
      <c r="C74" s="39" t="s">
        <v>249</v>
      </c>
      <c r="D74" s="39"/>
      <c r="E74" s="39"/>
      <c r="F74" s="39"/>
      <c r="G74" s="39"/>
      <c r="H74" s="39"/>
      <c r="I74" s="39" t="s">
        <v>78</v>
      </c>
      <c r="J74" s="42">
        <v>19</v>
      </c>
      <c r="K74" s="51">
        <v>0</v>
      </c>
      <c r="L74" s="42">
        <f t="shared" si="20"/>
        <v>0</v>
      </c>
      <c r="M74" s="43" t="s">
        <v>53</v>
      </c>
      <c r="N74" s="8"/>
      <c r="Z74" s="44">
        <f t="shared" si="21"/>
        <v>0</v>
      </c>
      <c r="AB74" s="44">
        <f t="shared" si="22"/>
        <v>0</v>
      </c>
      <c r="AC74" s="44">
        <f t="shared" si="23"/>
        <v>0</v>
      </c>
      <c r="AD74" s="44">
        <f t="shared" si="24"/>
        <v>0</v>
      </c>
      <c r="AE74" s="44">
        <f t="shared" si="25"/>
        <v>0</v>
      </c>
      <c r="AF74" s="44">
        <f t="shared" si="26"/>
        <v>0</v>
      </c>
      <c r="AG74" s="44">
        <f t="shared" si="27"/>
        <v>0</v>
      </c>
      <c r="AH74" s="44">
        <f t="shared" si="28"/>
        <v>0</v>
      </c>
      <c r="AI74" s="24"/>
      <c r="AJ74" s="44">
        <f t="shared" si="29"/>
        <v>0</v>
      </c>
      <c r="AK74" s="44">
        <f t="shared" si="30"/>
        <v>0</v>
      </c>
      <c r="AL74" s="44">
        <f t="shared" si="31"/>
        <v>0</v>
      </c>
      <c r="AN74" s="44">
        <v>21</v>
      </c>
      <c r="AO74" s="44">
        <f>K74*0.320055944055944</f>
        <v>0</v>
      </c>
      <c r="AP74" s="44">
        <f>K74*(1-0.320055944055944)</f>
        <v>0</v>
      </c>
      <c r="AQ74" s="45" t="s">
        <v>80</v>
      </c>
      <c r="AV74" s="44">
        <f t="shared" si="32"/>
        <v>0</v>
      </c>
      <c r="AW74" s="44">
        <f t="shared" si="33"/>
        <v>0</v>
      </c>
      <c r="AX74" s="44">
        <f t="shared" si="34"/>
        <v>0</v>
      </c>
      <c r="AY74" s="45" t="s">
        <v>236</v>
      </c>
      <c r="AZ74" s="45" t="s">
        <v>237</v>
      </c>
      <c r="BA74" s="24" t="s">
        <v>56</v>
      </c>
      <c r="BC74" s="44">
        <f t="shared" si="35"/>
        <v>0</v>
      </c>
      <c r="BD74" s="44">
        <f t="shared" si="36"/>
        <v>0</v>
      </c>
      <c r="BE74" s="44">
        <v>0</v>
      </c>
      <c r="BF74" s="44">
        <f>74</f>
        <v>74</v>
      </c>
      <c r="BH74" s="44">
        <f t="shared" si="37"/>
        <v>0</v>
      </c>
      <c r="BI74" s="44">
        <f t="shared" si="38"/>
        <v>0</v>
      </c>
      <c r="BJ74" s="44">
        <f t="shared" si="39"/>
        <v>0</v>
      </c>
      <c r="BK74" s="44" t="s">
        <v>57</v>
      </c>
      <c r="BL74" s="44">
        <v>771</v>
      </c>
    </row>
    <row r="75" spans="1:64" ht="19.5" customHeight="1">
      <c r="A75" s="38" t="s">
        <v>250</v>
      </c>
      <c r="B75" s="39" t="s">
        <v>251</v>
      </c>
      <c r="C75" s="39" t="s">
        <v>252</v>
      </c>
      <c r="D75" s="39"/>
      <c r="E75" s="39"/>
      <c r="F75" s="39"/>
      <c r="G75" s="39"/>
      <c r="H75" s="39"/>
      <c r="I75" s="39" t="s">
        <v>78</v>
      </c>
      <c r="J75" s="42">
        <v>22.8</v>
      </c>
      <c r="K75" s="51">
        <v>0</v>
      </c>
      <c r="L75" s="42">
        <f t="shared" si="20"/>
        <v>0</v>
      </c>
      <c r="M75" s="43" t="s">
        <v>53</v>
      </c>
      <c r="N75" s="8"/>
      <c r="Z75" s="44">
        <f t="shared" si="21"/>
        <v>0</v>
      </c>
      <c r="AB75" s="44">
        <f t="shared" si="22"/>
        <v>0</v>
      </c>
      <c r="AC75" s="44">
        <f t="shared" si="23"/>
        <v>0</v>
      </c>
      <c r="AD75" s="44">
        <f t="shared" si="24"/>
        <v>0</v>
      </c>
      <c r="AE75" s="44">
        <f t="shared" si="25"/>
        <v>0</v>
      </c>
      <c r="AF75" s="44">
        <f t="shared" si="26"/>
        <v>0</v>
      </c>
      <c r="AG75" s="44">
        <f t="shared" si="27"/>
        <v>0</v>
      </c>
      <c r="AH75" s="44">
        <f t="shared" si="28"/>
        <v>0</v>
      </c>
      <c r="AI75" s="24"/>
      <c r="AJ75" s="44">
        <f t="shared" si="29"/>
        <v>0</v>
      </c>
      <c r="AK75" s="44">
        <f t="shared" si="30"/>
        <v>0</v>
      </c>
      <c r="AL75" s="44">
        <f t="shared" si="31"/>
        <v>0</v>
      </c>
      <c r="AN75" s="44">
        <v>21</v>
      </c>
      <c r="AO75" s="44">
        <f>K75*1</f>
        <v>0</v>
      </c>
      <c r="AP75" s="44">
        <f>K75*(1-1)</f>
        <v>0</v>
      </c>
      <c r="AQ75" s="45" t="s">
        <v>80</v>
      </c>
      <c r="AV75" s="44">
        <f t="shared" si="32"/>
        <v>0</v>
      </c>
      <c r="AW75" s="44">
        <f t="shared" si="33"/>
        <v>0</v>
      </c>
      <c r="AX75" s="44">
        <f t="shared" si="34"/>
        <v>0</v>
      </c>
      <c r="AY75" s="45" t="s">
        <v>236</v>
      </c>
      <c r="AZ75" s="45" t="s">
        <v>237</v>
      </c>
      <c r="BA75" s="24" t="s">
        <v>56</v>
      </c>
      <c r="BC75" s="44">
        <f t="shared" si="35"/>
        <v>0</v>
      </c>
      <c r="BD75" s="44">
        <f t="shared" si="36"/>
        <v>0</v>
      </c>
      <c r="BE75" s="44">
        <v>0</v>
      </c>
      <c r="BF75" s="44">
        <f>75</f>
        <v>75</v>
      </c>
      <c r="BH75" s="44">
        <f t="shared" si="37"/>
        <v>0</v>
      </c>
      <c r="BI75" s="44">
        <f t="shared" si="38"/>
        <v>0</v>
      </c>
      <c r="BJ75" s="44">
        <f t="shared" si="39"/>
        <v>0</v>
      </c>
      <c r="BK75" s="44" t="s">
        <v>253</v>
      </c>
      <c r="BL75" s="44">
        <v>771</v>
      </c>
    </row>
    <row r="76" spans="1:47" ht="19.5" customHeight="1">
      <c r="A76" s="46"/>
      <c r="B76" s="47" t="s">
        <v>254</v>
      </c>
      <c r="C76" s="47" t="s">
        <v>255</v>
      </c>
      <c r="D76" s="47"/>
      <c r="E76" s="47"/>
      <c r="F76" s="47"/>
      <c r="G76" s="47"/>
      <c r="H76" s="47"/>
      <c r="I76" s="48" t="s">
        <v>4</v>
      </c>
      <c r="J76" s="48" t="s">
        <v>4</v>
      </c>
      <c r="K76" s="48" t="s">
        <v>4</v>
      </c>
      <c r="L76" s="49">
        <f>SUM(L77:L82)</f>
        <v>0</v>
      </c>
      <c r="M76" s="50"/>
      <c r="N76" s="8"/>
      <c r="AI76" s="24"/>
      <c r="AS76" s="37">
        <f>SUM(AJ77:AJ82)</f>
        <v>0</v>
      </c>
      <c r="AT76" s="37">
        <f>SUM(AK77:AK82)</f>
        <v>0</v>
      </c>
      <c r="AU76" s="37">
        <f>SUM(AL77:AL82)</f>
        <v>0</v>
      </c>
    </row>
    <row r="77" spans="1:64" ht="19.5" customHeight="1">
      <c r="A77" s="38" t="s">
        <v>256</v>
      </c>
      <c r="B77" s="39" t="s">
        <v>257</v>
      </c>
      <c r="C77" s="39" t="s">
        <v>258</v>
      </c>
      <c r="D77" s="39"/>
      <c r="E77" s="39"/>
      <c r="F77" s="39"/>
      <c r="G77" s="39"/>
      <c r="H77" s="39"/>
      <c r="I77" s="39" t="s">
        <v>158</v>
      </c>
      <c r="J77" s="42">
        <v>80</v>
      </c>
      <c r="K77" s="41">
        <v>0</v>
      </c>
      <c r="L77" s="42">
        <f aca="true" t="shared" si="40" ref="L77:L82">J77*K77</f>
        <v>0</v>
      </c>
      <c r="M77" s="43" t="s">
        <v>53</v>
      </c>
      <c r="N77" s="8"/>
      <c r="Z77" s="44">
        <f aca="true" t="shared" si="41" ref="Z77:Z82">IF(AQ77="5",BJ77,0)</f>
        <v>0</v>
      </c>
      <c r="AB77" s="44">
        <f aca="true" t="shared" si="42" ref="AB77:AB82">IF(AQ77="1",BH77,0)</f>
        <v>0</v>
      </c>
      <c r="AC77" s="44">
        <f aca="true" t="shared" si="43" ref="AC77:AC82">IF(AQ77="1",BI77,0)</f>
        <v>0</v>
      </c>
      <c r="AD77" s="44">
        <f aca="true" t="shared" si="44" ref="AD77:AD82">IF(AQ77="7",BH77,0)</f>
        <v>0</v>
      </c>
      <c r="AE77" s="44">
        <f aca="true" t="shared" si="45" ref="AE77:AE82">IF(AQ77="7",BI77,0)</f>
        <v>0</v>
      </c>
      <c r="AF77" s="44">
        <f aca="true" t="shared" si="46" ref="AF77:AF82">IF(AQ77="2",BH77,0)</f>
        <v>0</v>
      </c>
      <c r="AG77" s="44">
        <f aca="true" t="shared" si="47" ref="AG77:AG82">IF(AQ77="2",BI77,0)</f>
        <v>0</v>
      </c>
      <c r="AH77" s="44">
        <f aca="true" t="shared" si="48" ref="AH77:AH82">IF(AQ77="0",BJ77,0)</f>
        <v>0</v>
      </c>
      <c r="AI77" s="24"/>
      <c r="AJ77" s="44">
        <f aca="true" t="shared" si="49" ref="AJ77:AJ82">IF(AN77=0,L77,0)</f>
        <v>0</v>
      </c>
      <c r="AK77" s="44">
        <f aca="true" t="shared" si="50" ref="AK77:AK82">IF(AN77=15,L77,0)</f>
        <v>0</v>
      </c>
      <c r="AL77" s="44">
        <f aca="true" t="shared" si="51" ref="AL77:AL82">IF(AN77=21,L77,0)</f>
        <v>0</v>
      </c>
      <c r="AN77" s="44">
        <v>21</v>
      </c>
      <c r="AO77" s="44">
        <f>K77*0.31632860040568</f>
        <v>0</v>
      </c>
      <c r="AP77" s="44">
        <f>K77*(1-0.31632860040568)</f>
        <v>0</v>
      </c>
      <c r="AQ77" s="45" t="s">
        <v>80</v>
      </c>
      <c r="AV77" s="44">
        <f aca="true" t="shared" si="52" ref="AV77:AV82">AW77+AX77</f>
        <v>0</v>
      </c>
      <c r="AW77" s="44">
        <f aca="true" t="shared" si="53" ref="AW77:AW82">J77*AO77</f>
        <v>0</v>
      </c>
      <c r="AX77" s="44">
        <f aca="true" t="shared" si="54" ref="AX77:AX82">J77*AP77</f>
        <v>0</v>
      </c>
      <c r="AY77" s="45" t="s">
        <v>259</v>
      </c>
      <c r="AZ77" s="45" t="s">
        <v>237</v>
      </c>
      <c r="BA77" s="24" t="s">
        <v>56</v>
      </c>
      <c r="BC77" s="44">
        <f aca="true" t="shared" si="55" ref="BC77:BC82">AW77+AX77</f>
        <v>0</v>
      </c>
      <c r="BD77" s="44">
        <f aca="true" t="shared" si="56" ref="BD77:BD82">K77/(100-BE77)*100</f>
        <v>0</v>
      </c>
      <c r="BE77" s="44">
        <v>0</v>
      </c>
      <c r="BF77" s="44">
        <f>77</f>
        <v>77</v>
      </c>
      <c r="BH77" s="44">
        <f aca="true" t="shared" si="57" ref="BH77:BH82">J77*AO77</f>
        <v>0</v>
      </c>
      <c r="BI77" s="44">
        <f aca="true" t="shared" si="58" ref="BI77:BI82">J77*AP77</f>
        <v>0</v>
      </c>
      <c r="BJ77" s="44">
        <f aca="true" t="shared" si="59" ref="BJ77:BJ82">J77*K77</f>
        <v>0</v>
      </c>
      <c r="BK77" s="44" t="s">
        <v>57</v>
      </c>
      <c r="BL77" s="44">
        <v>776</v>
      </c>
    </row>
    <row r="78" spans="1:64" ht="19.5" customHeight="1">
      <c r="A78" s="38" t="s">
        <v>260</v>
      </c>
      <c r="B78" s="39" t="s">
        <v>261</v>
      </c>
      <c r="C78" s="39" t="s">
        <v>262</v>
      </c>
      <c r="D78" s="39"/>
      <c r="E78" s="39"/>
      <c r="F78" s="39"/>
      <c r="G78" s="39"/>
      <c r="H78" s="39"/>
      <c r="I78" s="39" t="s">
        <v>78</v>
      </c>
      <c r="J78" s="42">
        <v>70</v>
      </c>
      <c r="K78" s="41">
        <v>0</v>
      </c>
      <c r="L78" s="42">
        <f t="shared" si="40"/>
        <v>0</v>
      </c>
      <c r="M78" s="43" t="s">
        <v>53</v>
      </c>
      <c r="N78" s="8"/>
      <c r="Z78" s="44">
        <f t="shared" si="41"/>
        <v>0</v>
      </c>
      <c r="AB78" s="44">
        <f t="shared" si="42"/>
        <v>0</v>
      </c>
      <c r="AC78" s="44">
        <f t="shared" si="43"/>
        <v>0</v>
      </c>
      <c r="AD78" s="44">
        <f t="shared" si="44"/>
        <v>0</v>
      </c>
      <c r="AE78" s="44">
        <f t="shared" si="45"/>
        <v>0</v>
      </c>
      <c r="AF78" s="44">
        <f t="shared" si="46"/>
        <v>0</v>
      </c>
      <c r="AG78" s="44">
        <f t="shared" si="47"/>
        <v>0</v>
      </c>
      <c r="AH78" s="44">
        <f t="shared" si="48"/>
        <v>0</v>
      </c>
      <c r="AI78" s="24"/>
      <c r="AJ78" s="44">
        <f t="shared" si="49"/>
        <v>0</v>
      </c>
      <c r="AK78" s="44">
        <f t="shared" si="50"/>
        <v>0</v>
      </c>
      <c r="AL78" s="44">
        <f t="shared" si="51"/>
        <v>0</v>
      </c>
      <c r="AN78" s="44">
        <v>21</v>
      </c>
      <c r="AO78" s="44">
        <f>K78*0</f>
        <v>0</v>
      </c>
      <c r="AP78" s="44">
        <f>K78*(1-0)</f>
        <v>0</v>
      </c>
      <c r="AQ78" s="45" t="s">
        <v>80</v>
      </c>
      <c r="AV78" s="44">
        <f t="shared" si="52"/>
        <v>0</v>
      </c>
      <c r="AW78" s="44">
        <f t="shared" si="53"/>
        <v>0</v>
      </c>
      <c r="AX78" s="44">
        <f t="shared" si="54"/>
        <v>0</v>
      </c>
      <c r="AY78" s="45" t="s">
        <v>259</v>
      </c>
      <c r="AZ78" s="45" t="s">
        <v>237</v>
      </c>
      <c r="BA78" s="24" t="s">
        <v>56</v>
      </c>
      <c r="BC78" s="44">
        <f t="shared" si="55"/>
        <v>0</v>
      </c>
      <c r="BD78" s="44">
        <f t="shared" si="56"/>
        <v>0</v>
      </c>
      <c r="BE78" s="44">
        <v>0</v>
      </c>
      <c r="BF78" s="44">
        <f>78</f>
        <v>78</v>
      </c>
      <c r="BH78" s="44">
        <f t="shared" si="57"/>
        <v>0</v>
      </c>
      <c r="BI78" s="44">
        <f t="shared" si="58"/>
        <v>0</v>
      </c>
      <c r="BJ78" s="44">
        <f t="shared" si="59"/>
        <v>0</v>
      </c>
      <c r="BK78" s="44" t="s">
        <v>57</v>
      </c>
      <c r="BL78" s="44">
        <v>776</v>
      </c>
    </row>
    <row r="79" spans="1:64" ht="19.5" customHeight="1">
      <c r="A79" s="38" t="s">
        <v>263</v>
      </c>
      <c r="B79" s="39" t="s">
        <v>264</v>
      </c>
      <c r="C79" s="39" t="s">
        <v>265</v>
      </c>
      <c r="D79" s="39"/>
      <c r="E79" s="39"/>
      <c r="F79" s="39"/>
      <c r="G79" s="39"/>
      <c r="H79" s="39"/>
      <c r="I79" s="39" t="s">
        <v>78</v>
      </c>
      <c r="J79" s="42">
        <v>70</v>
      </c>
      <c r="K79" s="41">
        <v>0</v>
      </c>
      <c r="L79" s="42">
        <f t="shared" si="40"/>
        <v>0</v>
      </c>
      <c r="M79" s="43" t="s">
        <v>53</v>
      </c>
      <c r="N79" s="8"/>
      <c r="Z79" s="44">
        <f t="shared" si="41"/>
        <v>0</v>
      </c>
      <c r="AB79" s="44">
        <f t="shared" si="42"/>
        <v>0</v>
      </c>
      <c r="AC79" s="44">
        <f t="shared" si="43"/>
        <v>0</v>
      </c>
      <c r="AD79" s="44">
        <f t="shared" si="44"/>
        <v>0</v>
      </c>
      <c r="AE79" s="44">
        <f t="shared" si="45"/>
        <v>0</v>
      </c>
      <c r="AF79" s="44">
        <f t="shared" si="46"/>
        <v>0</v>
      </c>
      <c r="AG79" s="44">
        <f t="shared" si="47"/>
        <v>0</v>
      </c>
      <c r="AH79" s="44">
        <f t="shared" si="48"/>
        <v>0</v>
      </c>
      <c r="AI79" s="24"/>
      <c r="AJ79" s="44">
        <f t="shared" si="49"/>
        <v>0</v>
      </c>
      <c r="AK79" s="44">
        <f t="shared" si="50"/>
        <v>0</v>
      </c>
      <c r="AL79" s="44">
        <f t="shared" si="51"/>
        <v>0</v>
      </c>
      <c r="AN79" s="44">
        <v>21</v>
      </c>
      <c r="AO79" s="44">
        <f>K79*0</f>
        <v>0</v>
      </c>
      <c r="AP79" s="44">
        <f>K79*(1-0)</f>
        <v>0</v>
      </c>
      <c r="AQ79" s="45" t="s">
        <v>80</v>
      </c>
      <c r="AV79" s="44">
        <f t="shared" si="52"/>
        <v>0</v>
      </c>
      <c r="AW79" s="44">
        <f t="shared" si="53"/>
        <v>0</v>
      </c>
      <c r="AX79" s="44">
        <f t="shared" si="54"/>
        <v>0</v>
      </c>
      <c r="AY79" s="45" t="s">
        <v>259</v>
      </c>
      <c r="AZ79" s="45" t="s">
        <v>237</v>
      </c>
      <c r="BA79" s="24" t="s">
        <v>56</v>
      </c>
      <c r="BC79" s="44">
        <f t="shared" si="55"/>
        <v>0</v>
      </c>
      <c r="BD79" s="44">
        <f t="shared" si="56"/>
        <v>0</v>
      </c>
      <c r="BE79" s="44">
        <v>0</v>
      </c>
      <c r="BF79" s="44">
        <f>79</f>
        <v>79</v>
      </c>
      <c r="BH79" s="44">
        <f t="shared" si="57"/>
        <v>0</v>
      </c>
      <c r="BI79" s="44">
        <f t="shared" si="58"/>
        <v>0</v>
      </c>
      <c r="BJ79" s="44">
        <f t="shared" si="59"/>
        <v>0</v>
      </c>
      <c r="BK79" s="44" t="s">
        <v>57</v>
      </c>
      <c r="BL79" s="44">
        <v>776</v>
      </c>
    </row>
    <row r="80" spans="1:64" ht="19.5" customHeight="1">
      <c r="A80" s="38" t="s">
        <v>266</v>
      </c>
      <c r="B80" s="39" t="s">
        <v>267</v>
      </c>
      <c r="C80" s="39" t="s">
        <v>268</v>
      </c>
      <c r="D80" s="39"/>
      <c r="E80" s="39"/>
      <c r="F80" s="39"/>
      <c r="G80" s="39"/>
      <c r="H80" s="39"/>
      <c r="I80" s="39" t="s">
        <v>78</v>
      </c>
      <c r="J80" s="42">
        <v>70</v>
      </c>
      <c r="K80" s="41">
        <v>0</v>
      </c>
      <c r="L80" s="42">
        <f t="shared" si="40"/>
        <v>0</v>
      </c>
      <c r="M80" s="43" t="s">
        <v>53</v>
      </c>
      <c r="N80" s="8"/>
      <c r="Z80" s="44">
        <f t="shared" si="41"/>
        <v>0</v>
      </c>
      <c r="AB80" s="44">
        <f t="shared" si="42"/>
        <v>0</v>
      </c>
      <c r="AC80" s="44">
        <f t="shared" si="43"/>
        <v>0</v>
      </c>
      <c r="AD80" s="44">
        <f t="shared" si="44"/>
        <v>0</v>
      </c>
      <c r="AE80" s="44">
        <f t="shared" si="45"/>
        <v>0</v>
      </c>
      <c r="AF80" s="44">
        <f t="shared" si="46"/>
        <v>0</v>
      </c>
      <c r="AG80" s="44">
        <f t="shared" si="47"/>
        <v>0</v>
      </c>
      <c r="AH80" s="44">
        <f t="shared" si="48"/>
        <v>0</v>
      </c>
      <c r="AI80" s="24"/>
      <c r="AJ80" s="44">
        <f t="shared" si="49"/>
        <v>0</v>
      </c>
      <c r="AK80" s="44">
        <f t="shared" si="50"/>
        <v>0</v>
      </c>
      <c r="AL80" s="44">
        <f t="shared" si="51"/>
        <v>0</v>
      </c>
      <c r="AN80" s="44">
        <v>21</v>
      </c>
      <c r="AO80" s="44">
        <f>K80*0.861722295628196</f>
        <v>0</v>
      </c>
      <c r="AP80" s="44">
        <f>K80*(1-0.861722295628196)</f>
        <v>0</v>
      </c>
      <c r="AQ80" s="45" t="s">
        <v>80</v>
      </c>
      <c r="AV80" s="44">
        <f t="shared" si="52"/>
        <v>0</v>
      </c>
      <c r="AW80" s="44">
        <f t="shared" si="53"/>
        <v>0</v>
      </c>
      <c r="AX80" s="44">
        <f t="shared" si="54"/>
        <v>0</v>
      </c>
      <c r="AY80" s="45" t="s">
        <v>259</v>
      </c>
      <c r="AZ80" s="45" t="s">
        <v>237</v>
      </c>
      <c r="BA80" s="24" t="s">
        <v>56</v>
      </c>
      <c r="BC80" s="44">
        <f t="shared" si="55"/>
        <v>0</v>
      </c>
      <c r="BD80" s="44">
        <f t="shared" si="56"/>
        <v>0</v>
      </c>
      <c r="BE80" s="44">
        <v>0</v>
      </c>
      <c r="BF80" s="44">
        <f>80</f>
        <v>80</v>
      </c>
      <c r="BH80" s="44">
        <f t="shared" si="57"/>
        <v>0</v>
      </c>
      <c r="BI80" s="44">
        <f t="shared" si="58"/>
        <v>0</v>
      </c>
      <c r="BJ80" s="44">
        <f t="shared" si="59"/>
        <v>0</v>
      </c>
      <c r="BK80" s="44" t="s">
        <v>57</v>
      </c>
      <c r="BL80" s="44">
        <v>776</v>
      </c>
    </row>
    <row r="81" spans="1:64" ht="19.5" customHeight="1">
      <c r="A81" s="38" t="s">
        <v>269</v>
      </c>
      <c r="B81" s="39" t="s">
        <v>270</v>
      </c>
      <c r="C81" s="39" t="s">
        <v>271</v>
      </c>
      <c r="D81" s="39"/>
      <c r="E81" s="39"/>
      <c r="F81" s="39"/>
      <c r="G81" s="39"/>
      <c r="H81" s="39"/>
      <c r="I81" s="39" t="s">
        <v>158</v>
      </c>
      <c r="J81" s="42">
        <v>18</v>
      </c>
      <c r="K81" s="41">
        <v>0</v>
      </c>
      <c r="L81" s="42">
        <f t="shared" si="40"/>
        <v>0</v>
      </c>
      <c r="M81" s="43" t="s">
        <v>53</v>
      </c>
      <c r="N81" s="8"/>
      <c r="Z81" s="44">
        <f t="shared" si="41"/>
        <v>0</v>
      </c>
      <c r="AB81" s="44">
        <f t="shared" si="42"/>
        <v>0</v>
      </c>
      <c r="AC81" s="44">
        <f t="shared" si="43"/>
        <v>0</v>
      </c>
      <c r="AD81" s="44">
        <f t="shared" si="44"/>
        <v>0</v>
      </c>
      <c r="AE81" s="44">
        <f t="shared" si="45"/>
        <v>0</v>
      </c>
      <c r="AF81" s="44">
        <f t="shared" si="46"/>
        <v>0</v>
      </c>
      <c r="AG81" s="44">
        <f t="shared" si="47"/>
        <v>0</v>
      </c>
      <c r="AH81" s="44">
        <f t="shared" si="48"/>
        <v>0</v>
      </c>
      <c r="AI81" s="24"/>
      <c r="AJ81" s="44">
        <f t="shared" si="49"/>
        <v>0</v>
      </c>
      <c r="AK81" s="44">
        <f t="shared" si="50"/>
        <v>0</v>
      </c>
      <c r="AL81" s="44">
        <f t="shared" si="51"/>
        <v>0</v>
      </c>
      <c r="AN81" s="44">
        <v>21</v>
      </c>
      <c r="AO81" s="44">
        <f>K81*0.213087934560327</f>
        <v>0</v>
      </c>
      <c r="AP81" s="44">
        <f>K81*(1-0.213087934560327)</f>
        <v>0</v>
      </c>
      <c r="AQ81" s="45" t="s">
        <v>80</v>
      </c>
      <c r="AV81" s="44">
        <f t="shared" si="52"/>
        <v>0</v>
      </c>
      <c r="AW81" s="44">
        <f t="shared" si="53"/>
        <v>0</v>
      </c>
      <c r="AX81" s="44">
        <f t="shared" si="54"/>
        <v>0</v>
      </c>
      <c r="AY81" s="45" t="s">
        <v>259</v>
      </c>
      <c r="AZ81" s="45" t="s">
        <v>237</v>
      </c>
      <c r="BA81" s="24" t="s">
        <v>56</v>
      </c>
      <c r="BC81" s="44">
        <f t="shared" si="55"/>
        <v>0</v>
      </c>
      <c r="BD81" s="44">
        <f t="shared" si="56"/>
        <v>0</v>
      </c>
      <c r="BE81" s="44">
        <v>0</v>
      </c>
      <c r="BF81" s="44">
        <f>81</f>
        <v>81</v>
      </c>
      <c r="BH81" s="44">
        <f t="shared" si="57"/>
        <v>0</v>
      </c>
      <c r="BI81" s="44">
        <f t="shared" si="58"/>
        <v>0</v>
      </c>
      <c r="BJ81" s="44">
        <f t="shared" si="59"/>
        <v>0</v>
      </c>
      <c r="BK81" s="44" t="s">
        <v>57</v>
      </c>
      <c r="BL81" s="44">
        <v>776</v>
      </c>
    </row>
    <row r="82" spans="1:64" ht="19.5" customHeight="1">
      <c r="A82" s="38" t="s">
        <v>272</v>
      </c>
      <c r="B82" s="39" t="s">
        <v>273</v>
      </c>
      <c r="C82" s="39" t="s">
        <v>274</v>
      </c>
      <c r="D82" s="39"/>
      <c r="E82" s="39"/>
      <c r="F82" s="39"/>
      <c r="G82" s="39"/>
      <c r="H82" s="39"/>
      <c r="I82" s="39" t="s">
        <v>78</v>
      </c>
      <c r="J82" s="42">
        <v>70</v>
      </c>
      <c r="K82" s="41">
        <v>0</v>
      </c>
      <c r="L82" s="42">
        <f t="shared" si="40"/>
        <v>0</v>
      </c>
      <c r="M82" s="43" t="s">
        <v>53</v>
      </c>
      <c r="N82" s="8"/>
      <c r="Z82" s="44">
        <f t="shared" si="41"/>
        <v>0</v>
      </c>
      <c r="AB82" s="44">
        <f t="shared" si="42"/>
        <v>0</v>
      </c>
      <c r="AC82" s="44">
        <f t="shared" si="43"/>
        <v>0</v>
      </c>
      <c r="AD82" s="44">
        <f t="shared" si="44"/>
        <v>0</v>
      </c>
      <c r="AE82" s="44">
        <f t="shared" si="45"/>
        <v>0</v>
      </c>
      <c r="AF82" s="44">
        <f t="shared" si="46"/>
        <v>0</v>
      </c>
      <c r="AG82" s="44">
        <f t="shared" si="47"/>
        <v>0</v>
      </c>
      <c r="AH82" s="44">
        <f t="shared" si="48"/>
        <v>0</v>
      </c>
      <c r="AI82" s="24"/>
      <c r="AJ82" s="44">
        <f t="shared" si="49"/>
        <v>0</v>
      </c>
      <c r="AK82" s="44">
        <f t="shared" si="50"/>
        <v>0</v>
      </c>
      <c r="AL82" s="44">
        <f t="shared" si="51"/>
        <v>0</v>
      </c>
      <c r="AN82" s="44">
        <v>21</v>
      </c>
      <c r="AO82" s="44">
        <f>K82*0.713242542153048</f>
        <v>0</v>
      </c>
      <c r="AP82" s="44">
        <f>K82*(1-0.713242542153048)</f>
        <v>0</v>
      </c>
      <c r="AQ82" s="45" t="s">
        <v>80</v>
      </c>
      <c r="AV82" s="44">
        <f t="shared" si="52"/>
        <v>0</v>
      </c>
      <c r="AW82" s="44">
        <f t="shared" si="53"/>
        <v>0</v>
      </c>
      <c r="AX82" s="44">
        <f t="shared" si="54"/>
        <v>0</v>
      </c>
      <c r="AY82" s="45" t="s">
        <v>259</v>
      </c>
      <c r="AZ82" s="45" t="s">
        <v>237</v>
      </c>
      <c r="BA82" s="24" t="s">
        <v>56</v>
      </c>
      <c r="BC82" s="44">
        <f t="shared" si="55"/>
        <v>0</v>
      </c>
      <c r="BD82" s="44">
        <f t="shared" si="56"/>
        <v>0</v>
      </c>
      <c r="BE82" s="44">
        <v>0</v>
      </c>
      <c r="BF82" s="44">
        <f>82</f>
        <v>82</v>
      </c>
      <c r="BH82" s="44">
        <f t="shared" si="57"/>
        <v>0</v>
      </c>
      <c r="BI82" s="44">
        <f t="shared" si="58"/>
        <v>0</v>
      </c>
      <c r="BJ82" s="44">
        <f t="shared" si="59"/>
        <v>0</v>
      </c>
      <c r="BK82" s="44" t="s">
        <v>57</v>
      </c>
      <c r="BL82" s="44">
        <v>776</v>
      </c>
    </row>
    <row r="83" spans="1:47" ht="19.5" customHeight="1">
      <c r="A83" s="46"/>
      <c r="B83" s="47" t="s">
        <v>275</v>
      </c>
      <c r="C83" s="47" t="s">
        <v>276</v>
      </c>
      <c r="D83" s="47"/>
      <c r="E83" s="47"/>
      <c r="F83" s="47"/>
      <c r="G83" s="47"/>
      <c r="H83" s="47"/>
      <c r="I83" s="48" t="s">
        <v>4</v>
      </c>
      <c r="J83" s="48" t="s">
        <v>4</v>
      </c>
      <c r="K83" s="48" t="s">
        <v>4</v>
      </c>
      <c r="L83" s="49">
        <f>SUM(L84:L84)</f>
        <v>0</v>
      </c>
      <c r="M83" s="50"/>
      <c r="N83" s="8"/>
      <c r="AI83" s="24"/>
      <c r="AS83" s="37">
        <f>SUM(AJ84:AJ84)</f>
        <v>0</v>
      </c>
      <c r="AT83" s="37">
        <f>SUM(AK84:AK84)</f>
        <v>0</v>
      </c>
      <c r="AU83" s="37">
        <f>SUM(AL84:AL84)</f>
        <v>0</v>
      </c>
    </row>
    <row r="84" spans="1:64" ht="19.5" customHeight="1">
      <c r="A84" s="38" t="s">
        <v>277</v>
      </c>
      <c r="B84" s="39" t="s">
        <v>278</v>
      </c>
      <c r="C84" s="39" t="s">
        <v>279</v>
      </c>
      <c r="D84" s="39"/>
      <c r="E84" s="39"/>
      <c r="F84" s="39"/>
      <c r="G84" s="39"/>
      <c r="H84" s="39"/>
      <c r="I84" s="39" t="s">
        <v>78</v>
      </c>
      <c r="J84" s="42">
        <v>91.8</v>
      </c>
      <c r="K84" s="41">
        <v>0</v>
      </c>
      <c r="L84" s="42">
        <f>J84*K84</f>
        <v>0</v>
      </c>
      <c r="M84" s="43" t="s">
        <v>53</v>
      </c>
      <c r="N84" s="8"/>
      <c r="Z84" s="44">
        <f>IF(AQ84="5",BJ84,0)</f>
        <v>0</v>
      </c>
      <c r="AB84" s="44">
        <f>IF(AQ84="1",BH84,0)</f>
        <v>0</v>
      </c>
      <c r="AC84" s="44">
        <f>IF(AQ84="1",BI84,0)</f>
        <v>0</v>
      </c>
      <c r="AD84" s="44">
        <f>IF(AQ84="7",BH84,0)</f>
        <v>0</v>
      </c>
      <c r="AE84" s="44">
        <f>IF(AQ84="7",BI84,0)</f>
        <v>0</v>
      </c>
      <c r="AF84" s="44">
        <f>IF(AQ84="2",BH84,0)</f>
        <v>0</v>
      </c>
      <c r="AG84" s="44">
        <f>IF(AQ84="2",BI84,0)</f>
        <v>0</v>
      </c>
      <c r="AH84" s="44">
        <f>IF(AQ84="0",BJ84,0)</f>
        <v>0</v>
      </c>
      <c r="AI84" s="24"/>
      <c r="AJ84" s="44">
        <f>IF(AN84=0,L84,0)</f>
        <v>0</v>
      </c>
      <c r="AK84" s="44">
        <f>IF(AN84=15,L84,0)</f>
        <v>0</v>
      </c>
      <c r="AL84" s="44">
        <f>IF(AN84=21,L84,0)</f>
        <v>0</v>
      </c>
      <c r="AN84" s="44">
        <v>21</v>
      </c>
      <c r="AO84" s="44">
        <f>K84*0.488244813229886</f>
        <v>0</v>
      </c>
      <c r="AP84" s="44">
        <f>K84*(1-0.488244813229886)</f>
        <v>0</v>
      </c>
      <c r="AQ84" s="45" t="s">
        <v>80</v>
      </c>
      <c r="AV84" s="44">
        <f>AW84+AX84</f>
        <v>0</v>
      </c>
      <c r="AW84" s="44">
        <f>J84*AO84</f>
        <v>0</v>
      </c>
      <c r="AX84" s="44">
        <f>J84*AP84</f>
        <v>0</v>
      </c>
      <c r="AY84" s="45" t="s">
        <v>280</v>
      </c>
      <c r="AZ84" s="45" t="s">
        <v>237</v>
      </c>
      <c r="BA84" s="24" t="s">
        <v>56</v>
      </c>
      <c r="BC84" s="44">
        <f>AW84+AX84</f>
        <v>0</v>
      </c>
      <c r="BD84" s="44">
        <f>K84/(100-BE84)*100</f>
        <v>0</v>
      </c>
      <c r="BE84" s="44">
        <v>0</v>
      </c>
      <c r="BF84" s="44">
        <f>84</f>
        <v>84</v>
      </c>
      <c r="BH84" s="44">
        <f>J84*AO84</f>
        <v>0</v>
      </c>
      <c r="BI84" s="44">
        <f>J84*AP84</f>
        <v>0</v>
      </c>
      <c r="BJ84" s="44">
        <f>J84*K84</f>
        <v>0</v>
      </c>
      <c r="BK84" s="44" t="s">
        <v>57</v>
      </c>
      <c r="BL84" s="44">
        <v>777</v>
      </c>
    </row>
    <row r="85" spans="1:47" ht="19.5" customHeight="1">
      <c r="A85" s="46"/>
      <c r="B85" s="47" t="s">
        <v>281</v>
      </c>
      <c r="C85" s="47" t="s">
        <v>282</v>
      </c>
      <c r="D85" s="47"/>
      <c r="E85" s="47"/>
      <c r="F85" s="47"/>
      <c r="G85" s="47"/>
      <c r="H85" s="47"/>
      <c r="I85" s="48" t="s">
        <v>4</v>
      </c>
      <c r="J85" s="48" t="s">
        <v>4</v>
      </c>
      <c r="K85" s="48" t="s">
        <v>4</v>
      </c>
      <c r="L85" s="49">
        <f>SUM(L86:L90)</f>
        <v>0</v>
      </c>
      <c r="M85" s="50"/>
      <c r="N85" s="8"/>
      <c r="AI85" s="24"/>
      <c r="AS85" s="37">
        <f>SUM(AJ86:AJ90)</f>
        <v>0</v>
      </c>
      <c r="AT85" s="37">
        <f>SUM(AK86:AK90)</f>
        <v>0</v>
      </c>
      <c r="AU85" s="37">
        <f>SUM(AL86:AL90)</f>
        <v>0</v>
      </c>
    </row>
    <row r="86" spans="1:64" ht="19.5" customHeight="1">
      <c r="A86" s="38" t="s">
        <v>283</v>
      </c>
      <c r="B86" s="39" t="s">
        <v>284</v>
      </c>
      <c r="C86" s="39" t="s">
        <v>285</v>
      </c>
      <c r="D86" s="39"/>
      <c r="E86" s="39"/>
      <c r="F86" s="39"/>
      <c r="G86" s="39"/>
      <c r="H86" s="39"/>
      <c r="I86" s="39" t="s">
        <v>170</v>
      </c>
      <c r="J86" s="42">
        <v>10</v>
      </c>
      <c r="K86" s="41">
        <v>0</v>
      </c>
      <c r="L86" s="42">
        <f>J86*K86</f>
        <v>0</v>
      </c>
      <c r="M86" s="43" t="s">
        <v>53</v>
      </c>
      <c r="N86" s="8"/>
      <c r="Z86" s="44">
        <f>IF(AQ86="5",BJ86,0)</f>
        <v>0</v>
      </c>
      <c r="AB86" s="44">
        <f>IF(AQ86="1",BH86,0)</f>
        <v>0</v>
      </c>
      <c r="AC86" s="44">
        <f>IF(AQ86="1",BI86,0)</f>
        <v>0</v>
      </c>
      <c r="AD86" s="44">
        <f>IF(AQ86="7",BH86,0)</f>
        <v>0</v>
      </c>
      <c r="AE86" s="44">
        <f>IF(AQ86="7",BI86,0)</f>
        <v>0</v>
      </c>
      <c r="AF86" s="44">
        <f>IF(AQ86="2",BH86,0)</f>
        <v>0</v>
      </c>
      <c r="AG86" s="44">
        <f>IF(AQ86="2",BI86,0)</f>
        <v>0</v>
      </c>
      <c r="AH86" s="44">
        <f>IF(AQ86="0",BJ86,0)</f>
        <v>0</v>
      </c>
      <c r="AI86" s="24"/>
      <c r="AJ86" s="44">
        <f>IF(AN86=0,L86,0)</f>
        <v>0</v>
      </c>
      <c r="AK86" s="44">
        <f>IF(AN86=15,L86,0)</f>
        <v>0</v>
      </c>
      <c r="AL86" s="44">
        <f>IF(AN86=21,L86,0)</f>
        <v>0</v>
      </c>
      <c r="AN86" s="44">
        <v>21</v>
      </c>
      <c r="AO86" s="44">
        <f>K86*0.0655231560891938</f>
        <v>0</v>
      </c>
      <c r="AP86" s="44">
        <f>K86*(1-0.0655231560891938)</f>
        <v>0</v>
      </c>
      <c r="AQ86" s="45" t="s">
        <v>80</v>
      </c>
      <c r="AV86" s="44">
        <f>AW86+AX86</f>
        <v>0</v>
      </c>
      <c r="AW86" s="44">
        <f>J86*AO86</f>
        <v>0</v>
      </c>
      <c r="AX86" s="44">
        <f>J86*AP86</f>
        <v>0</v>
      </c>
      <c r="AY86" s="45" t="s">
        <v>286</v>
      </c>
      <c r="AZ86" s="45" t="s">
        <v>287</v>
      </c>
      <c r="BA86" s="24" t="s">
        <v>56</v>
      </c>
      <c r="BC86" s="44">
        <f>AW86+AX86</f>
        <v>0</v>
      </c>
      <c r="BD86" s="44">
        <f>K86/(100-BE86)*100</f>
        <v>0</v>
      </c>
      <c r="BE86" s="44">
        <v>0</v>
      </c>
      <c r="BF86" s="44">
        <f>86</f>
        <v>86</v>
      </c>
      <c r="BH86" s="44">
        <f>J86*AO86</f>
        <v>0</v>
      </c>
      <c r="BI86" s="44">
        <f>J86*AP86</f>
        <v>0</v>
      </c>
      <c r="BJ86" s="44">
        <f>J86*K86</f>
        <v>0</v>
      </c>
      <c r="BK86" s="44" t="s">
        <v>57</v>
      </c>
      <c r="BL86" s="44">
        <v>781</v>
      </c>
    </row>
    <row r="87" spans="1:64" ht="19.5" customHeight="1">
      <c r="A87" s="38" t="s">
        <v>288</v>
      </c>
      <c r="B87" s="39" t="s">
        <v>289</v>
      </c>
      <c r="C87" s="39" t="s">
        <v>290</v>
      </c>
      <c r="D87" s="39"/>
      <c r="E87" s="39"/>
      <c r="F87" s="39"/>
      <c r="G87" s="39"/>
      <c r="H87" s="39"/>
      <c r="I87" s="39" t="s">
        <v>78</v>
      </c>
      <c r="J87" s="42">
        <v>24</v>
      </c>
      <c r="K87" s="41">
        <v>0</v>
      </c>
      <c r="L87" s="42">
        <f>J87*K87</f>
        <v>0</v>
      </c>
      <c r="M87" s="43" t="s">
        <v>53</v>
      </c>
      <c r="N87" s="8"/>
      <c r="Z87" s="44">
        <f>IF(AQ87="5",BJ87,0)</f>
        <v>0</v>
      </c>
      <c r="AB87" s="44">
        <f>IF(AQ87="1",BH87,0)</f>
        <v>0</v>
      </c>
      <c r="AC87" s="44">
        <f>IF(AQ87="1",BI87,0)</f>
        <v>0</v>
      </c>
      <c r="AD87" s="44">
        <f>IF(AQ87="7",BH87,0)</f>
        <v>0</v>
      </c>
      <c r="AE87" s="44">
        <f>IF(AQ87="7",BI87,0)</f>
        <v>0</v>
      </c>
      <c r="AF87" s="44">
        <f>IF(AQ87="2",BH87,0)</f>
        <v>0</v>
      </c>
      <c r="AG87" s="44">
        <f>IF(AQ87="2",BI87,0)</f>
        <v>0</v>
      </c>
      <c r="AH87" s="44">
        <f>IF(AQ87="0",BJ87,0)</f>
        <v>0</v>
      </c>
      <c r="AI87" s="24"/>
      <c r="AJ87" s="44">
        <f>IF(AN87=0,L87,0)</f>
        <v>0</v>
      </c>
      <c r="AK87" s="44">
        <f>IF(AN87=15,L87,0)</f>
        <v>0</v>
      </c>
      <c r="AL87" s="44">
        <f>IF(AN87=21,L87,0)</f>
        <v>0</v>
      </c>
      <c r="AN87" s="44">
        <v>21</v>
      </c>
      <c r="AO87" s="44">
        <f>K87*0.323276595744681</f>
        <v>0</v>
      </c>
      <c r="AP87" s="44">
        <f>K87*(1-0.323276595744681)</f>
        <v>0</v>
      </c>
      <c r="AQ87" s="45" t="s">
        <v>80</v>
      </c>
      <c r="AV87" s="44">
        <f>AW87+AX87</f>
        <v>0</v>
      </c>
      <c r="AW87" s="44">
        <f>J87*AO87</f>
        <v>0</v>
      </c>
      <c r="AX87" s="44">
        <f>J87*AP87</f>
        <v>0</v>
      </c>
      <c r="AY87" s="45" t="s">
        <v>286</v>
      </c>
      <c r="AZ87" s="45" t="s">
        <v>287</v>
      </c>
      <c r="BA87" s="24" t="s">
        <v>56</v>
      </c>
      <c r="BC87" s="44">
        <f>AW87+AX87</f>
        <v>0</v>
      </c>
      <c r="BD87" s="44">
        <f>K87/(100-BE87)*100</f>
        <v>0</v>
      </c>
      <c r="BE87" s="44">
        <v>0</v>
      </c>
      <c r="BF87" s="44">
        <f>87</f>
        <v>87</v>
      </c>
      <c r="BH87" s="44">
        <f>J87*AO87</f>
        <v>0</v>
      </c>
      <c r="BI87" s="44">
        <f>J87*AP87</f>
        <v>0</v>
      </c>
      <c r="BJ87" s="44">
        <f>J87*K87</f>
        <v>0</v>
      </c>
      <c r="BK87" s="44" t="s">
        <v>57</v>
      </c>
      <c r="BL87" s="44">
        <v>781</v>
      </c>
    </row>
    <row r="88" spans="1:64" ht="19.5" customHeight="1">
      <c r="A88" s="38" t="s">
        <v>291</v>
      </c>
      <c r="B88" s="39" t="s">
        <v>292</v>
      </c>
      <c r="C88" s="39" t="s">
        <v>293</v>
      </c>
      <c r="D88" s="39"/>
      <c r="E88" s="39"/>
      <c r="F88" s="39"/>
      <c r="G88" s="39"/>
      <c r="H88" s="39"/>
      <c r="I88" s="39" t="s">
        <v>78</v>
      </c>
      <c r="J88" s="42">
        <v>24</v>
      </c>
      <c r="K88" s="41">
        <v>0</v>
      </c>
      <c r="L88" s="42">
        <f>J88*K88</f>
        <v>0</v>
      </c>
      <c r="M88" s="43" t="s">
        <v>53</v>
      </c>
      <c r="N88" s="8"/>
      <c r="Z88" s="44">
        <f>IF(AQ88="5",BJ88,0)</f>
        <v>0</v>
      </c>
      <c r="AB88" s="44">
        <f>IF(AQ88="1",BH88,0)</f>
        <v>0</v>
      </c>
      <c r="AC88" s="44">
        <f>IF(AQ88="1",BI88,0)</f>
        <v>0</v>
      </c>
      <c r="AD88" s="44">
        <f>IF(AQ88="7",BH88,0)</f>
        <v>0</v>
      </c>
      <c r="AE88" s="44">
        <f>IF(AQ88="7",BI88,0)</f>
        <v>0</v>
      </c>
      <c r="AF88" s="44">
        <f>IF(AQ88="2",BH88,0)</f>
        <v>0</v>
      </c>
      <c r="AG88" s="44">
        <f>IF(AQ88="2",BI88,0)</f>
        <v>0</v>
      </c>
      <c r="AH88" s="44">
        <f>IF(AQ88="0",BJ88,0)</f>
        <v>0</v>
      </c>
      <c r="AI88" s="24"/>
      <c r="AJ88" s="44">
        <f>IF(AN88=0,L88,0)</f>
        <v>0</v>
      </c>
      <c r="AK88" s="44">
        <f>IF(AN88=15,L88,0)</f>
        <v>0</v>
      </c>
      <c r="AL88" s="44">
        <f>IF(AN88=21,L88,0)</f>
        <v>0</v>
      </c>
      <c r="AN88" s="44">
        <v>21</v>
      </c>
      <c r="AO88" s="44">
        <f>K88*0</f>
        <v>0</v>
      </c>
      <c r="AP88" s="44">
        <f>K88*(1-0)</f>
        <v>0</v>
      </c>
      <c r="AQ88" s="45" t="s">
        <v>80</v>
      </c>
      <c r="AV88" s="44">
        <f>AW88+AX88</f>
        <v>0</v>
      </c>
      <c r="AW88" s="44">
        <f>J88*AO88</f>
        <v>0</v>
      </c>
      <c r="AX88" s="44">
        <f>J88*AP88</f>
        <v>0</v>
      </c>
      <c r="AY88" s="45" t="s">
        <v>286</v>
      </c>
      <c r="AZ88" s="45" t="s">
        <v>287</v>
      </c>
      <c r="BA88" s="24" t="s">
        <v>56</v>
      </c>
      <c r="BC88" s="44">
        <f>AW88+AX88</f>
        <v>0</v>
      </c>
      <c r="BD88" s="44">
        <f>K88/(100-BE88)*100</f>
        <v>0</v>
      </c>
      <c r="BE88" s="44">
        <v>0</v>
      </c>
      <c r="BF88" s="44">
        <f>88</f>
        <v>88</v>
      </c>
      <c r="BH88" s="44">
        <f>J88*AO88</f>
        <v>0</v>
      </c>
      <c r="BI88" s="44">
        <f>J88*AP88</f>
        <v>0</v>
      </c>
      <c r="BJ88" s="44">
        <f>J88*K88</f>
        <v>0</v>
      </c>
      <c r="BK88" s="44" t="s">
        <v>57</v>
      </c>
      <c r="BL88" s="44">
        <v>781</v>
      </c>
    </row>
    <row r="89" spans="1:64" ht="19.5" customHeight="1">
      <c r="A89" s="38" t="s">
        <v>130</v>
      </c>
      <c r="B89" s="39" t="s">
        <v>294</v>
      </c>
      <c r="C89" s="39" t="s">
        <v>295</v>
      </c>
      <c r="D89" s="39"/>
      <c r="E89" s="39"/>
      <c r="F89" s="39"/>
      <c r="G89" s="39"/>
      <c r="H89" s="39"/>
      <c r="I89" s="39" t="s">
        <v>78</v>
      </c>
      <c r="J89" s="42">
        <v>24</v>
      </c>
      <c r="K89" s="41">
        <v>0</v>
      </c>
      <c r="L89" s="42">
        <f>J89*K89</f>
        <v>0</v>
      </c>
      <c r="M89" s="43" t="s">
        <v>53</v>
      </c>
      <c r="N89" s="8"/>
      <c r="Z89" s="44">
        <f>IF(AQ89="5",BJ89,0)</f>
        <v>0</v>
      </c>
      <c r="AB89" s="44">
        <f>IF(AQ89="1",BH89,0)</f>
        <v>0</v>
      </c>
      <c r="AC89" s="44">
        <f>IF(AQ89="1",BI89,0)</f>
        <v>0</v>
      </c>
      <c r="AD89" s="44">
        <f>IF(AQ89="7",BH89,0)</f>
        <v>0</v>
      </c>
      <c r="AE89" s="44">
        <f>IF(AQ89="7",BI89,0)</f>
        <v>0</v>
      </c>
      <c r="AF89" s="44">
        <f>IF(AQ89="2",BH89,0)</f>
        <v>0</v>
      </c>
      <c r="AG89" s="44">
        <f>IF(AQ89="2",BI89,0)</f>
        <v>0</v>
      </c>
      <c r="AH89" s="44">
        <f>IF(AQ89="0",BJ89,0)</f>
        <v>0</v>
      </c>
      <c r="AI89" s="24"/>
      <c r="AJ89" s="44">
        <f>IF(AN89=0,L89,0)</f>
        <v>0</v>
      </c>
      <c r="AK89" s="44">
        <f>IF(AN89=15,L89,0)</f>
        <v>0</v>
      </c>
      <c r="AL89" s="44">
        <f>IF(AN89=21,L89,0)</f>
        <v>0</v>
      </c>
      <c r="AN89" s="44">
        <v>21</v>
      </c>
      <c r="AO89" s="44">
        <f>K89*1</f>
        <v>0</v>
      </c>
      <c r="AP89" s="44">
        <f>K89*(1-1)</f>
        <v>0</v>
      </c>
      <c r="AQ89" s="45" t="s">
        <v>80</v>
      </c>
      <c r="AV89" s="44">
        <f>AW89+AX89</f>
        <v>0</v>
      </c>
      <c r="AW89" s="44">
        <f>J89*AO89</f>
        <v>0</v>
      </c>
      <c r="AX89" s="44">
        <f>J89*AP89</f>
        <v>0</v>
      </c>
      <c r="AY89" s="45" t="s">
        <v>286</v>
      </c>
      <c r="AZ89" s="45" t="s">
        <v>287</v>
      </c>
      <c r="BA89" s="24" t="s">
        <v>56</v>
      </c>
      <c r="BC89" s="44">
        <f>AW89+AX89</f>
        <v>0</v>
      </c>
      <c r="BD89" s="44">
        <f>K89/(100-BE89)*100</f>
        <v>0</v>
      </c>
      <c r="BE89" s="44">
        <v>0</v>
      </c>
      <c r="BF89" s="44">
        <f>89</f>
        <v>89</v>
      </c>
      <c r="BH89" s="44">
        <f>J89*AO89</f>
        <v>0</v>
      </c>
      <c r="BI89" s="44">
        <f>J89*AP89</f>
        <v>0</v>
      </c>
      <c r="BJ89" s="44">
        <f>J89*K89</f>
        <v>0</v>
      </c>
      <c r="BK89" s="44" t="s">
        <v>57</v>
      </c>
      <c r="BL89" s="44">
        <v>781</v>
      </c>
    </row>
    <row r="90" spans="1:64" ht="19.5" customHeight="1">
      <c r="A90" s="38" t="s">
        <v>296</v>
      </c>
      <c r="B90" s="39" t="s">
        <v>297</v>
      </c>
      <c r="C90" s="39" t="s">
        <v>298</v>
      </c>
      <c r="D90" s="39"/>
      <c r="E90" s="39"/>
      <c r="F90" s="39"/>
      <c r="G90" s="39"/>
      <c r="H90" s="39"/>
      <c r="I90" s="39" t="s">
        <v>78</v>
      </c>
      <c r="J90" s="42">
        <v>26.4</v>
      </c>
      <c r="K90" s="41">
        <v>0</v>
      </c>
      <c r="L90" s="42">
        <f>J90*K90</f>
        <v>0</v>
      </c>
      <c r="M90" s="43" t="s">
        <v>53</v>
      </c>
      <c r="N90" s="8"/>
      <c r="Z90" s="44">
        <f>IF(AQ90="5",BJ90,0)</f>
        <v>0</v>
      </c>
      <c r="AB90" s="44">
        <f>IF(AQ90="1",BH90,0)</f>
        <v>0</v>
      </c>
      <c r="AC90" s="44">
        <f>IF(AQ90="1",BI90,0)</f>
        <v>0</v>
      </c>
      <c r="AD90" s="44">
        <f>IF(AQ90="7",BH90,0)</f>
        <v>0</v>
      </c>
      <c r="AE90" s="44">
        <f>IF(AQ90="7",BI90,0)</f>
        <v>0</v>
      </c>
      <c r="AF90" s="44">
        <f>IF(AQ90="2",BH90,0)</f>
        <v>0</v>
      </c>
      <c r="AG90" s="44">
        <f>IF(AQ90="2",BI90,0)</f>
        <v>0</v>
      </c>
      <c r="AH90" s="44">
        <f>IF(AQ90="0",BJ90,0)</f>
        <v>0</v>
      </c>
      <c r="AI90" s="24"/>
      <c r="AJ90" s="44">
        <f>IF(AN90=0,L90,0)</f>
        <v>0</v>
      </c>
      <c r="AK90" s="44">
        <f>IF(AN90=15,L90,0)</f>
        <v>0</v>
      </c>
      <c r="AL90" s="44">
        <f>IF(AN90=21,L90,0)</f>
        <v>0</v>
      </c>
      <c r="AN90" s="44">
        <v>21</v>
      </c>
      <c r="AO90" s="44">
        <f>K90*1</f>
        <v>0</v>
      </c>
      <c r="AP90" s="44">
        <f>K90*(1-1)</f>
        <v>0</v>
      </c>
      <c r="AQ90" s="45" t="s">
        <v>80</v>
      </c>
      <c r="AV90" s="44">
        <f>AW90+AX90</f>
        <v>0</v>
      </c>
      <c r="AW90" s="44">
        <f>J90*AO90</f>
        <v>0</v>
      </c>
      <c r="AX90" s="44">
        <f>J90*AP90</f>
        <v>0</v>
      </c>
      <c r="AY90" s="45" t="s">
        <v>286</v>
      </c>
      <c r="AZ90" s="45" t="s">
        <v>287</v>
      </c>
      <c r="BA90" s="24" t="s">
        <v>56</v>
      </c>
      <c r="BC90" s="44">
        <f>AW90+AX90</f>
        <v>0</v>
      </c>
      <c r="BD90" s="44">
        <f>K90/(100-BE90)*100</f>
        <v>0</v>
      </c>
      <c r="BE90" s="44">
        <v>0</v>
      </c>
      <c r="BF90" s="44">
        <f>90</f>
        <v>90</v>
      </c>
      <c r="BH90" s="44">
        <f>J90*AO90</f>
        <v>0</v>
      </c>
      <c r="BI90" s="44">
        <f>J90*AP90</f>
        <v>0</v>
      </c>
      <c r="BJ90" s="44">
        <f>J90*K90</f>
        <v>0</v>
      </c>
      <c r="BK90" s="44" t="s">
        <v>253</v>
      </c>
      <c r="BL90" s="44">
        <v>781</v>
      </c>
    </row>
    <row r="91" spans="1:47" ht="19.5" customHeight="1">
      <c r="A91" s="46"/>
      <c r="B91" s="47" t="s">
        <v>299</v>
      </c>
      <c r="C91" s="47" t="s">
        <v>300</v>
      </c>
      <c r="D91" s="47"/>
      <c r="E91" s="47"/>
      <c r="F91" s="47"/>
      <c r="G91" s="47"/>
      <c r="H91" s="47"/>
      <c r="I91" s="48" t="s">
        <v>4</v>
      </c>
      <c r="J91" s="48" t="s">
        <v>4</v>
      </c>
      <c r="K91" s="48" t="s">
        <v>4</v>
      </c>
      <c r="L91" s="49">
        <f>SUM(L92:L96)</f>
        <v>0</v>
      </c>
      <c r="M91" s="50"/>
      <c r="N91" s="8"/>
      <c r="AI91" s="24"/>
      <c r="AS91" s="37">
        <f>SUM(AJ92:AJ96)</f>
        <v>0</v>
      </c>
      <c r="AT91" s="37">
        <f>SUM(AK92:AK96)</f>
        <v>0</v>
      </c>
      <c r="AU91" s="37">
        <f>SUM(AL92:AL96)</f>
        <v>0</v>
      </c>
    </row>
    <row r="92" spans="1:64" ht="19.5" customHeight="1">
      <c r="A92" s="38" t="s">
        <v>137</v>
      </c>
      <c r="B92" s="39" t="s">
        <v>301</v>
      </c>
      <c r="C92" s="39" t="s">
        <v>302</v>
      </c>
      <c r="D92" s="39"/>
      <c r="E92" s="39"/>
      <c r="F92" s="39"/>
      <c r="G92" s="39"/>
      <c r="H92" s="39"/>
      <c r="I92" s="39" t="s">
        <v>78</v>
      </c>
      <c r="J92" s="42">
        <v>76.24</v>
      </c>
      <c r="K92" s="41">
        <v>0</v>
      </c>
      <c r="L92" s="42">
        <f>J92*K92</f>
        <v>0</v>
      </c>
      <c r="M92" s="43" t="s">
        <v>53</v>
      </c>
      <c r="N92" s="8"/>
      <c r="Z92" s="44">
        <f>IF(AQ92="5",BJ92,0)</f>
        <v>0</v>
      </c>
      <c r="AB92" s="44">
        <f>IF(AQ92="1",BH92,0)</f>
        <v>0</v>
      </c>
      <c r="AC92" s="44">
        <f>IF(AQ92="1",BI92,0)</f>
        <v>0</v>
      </c>
      <c r="AD92" s="44">
        <f>IF(AQ92="7",BH92,0)</f>
        <v>0</v>
      </c>
      <c r="AE92" s="44">
        <f>IF(AQ92="7",BI92,0)</f>
        <v>0</v>
      </c>
      <c r="AF92" s="44">
        <f>IF(AQ92="2",BH92,0)</f>
        <v>0</v>
      </c>
      <c r="AG92" s="44">
        <f>IF(AQ92="2",BI92,0)</f>
        <v>0</v>
      </c>
      <c r="AH92" s="44">
        <f>IF(AQ92="0",BJ92,0)</f>
        <v>0</v>
      </c>
      <c r="AI92" s="24"/>
      <c r="AJ92" s="44">
        <f>IF(AN92=0,L92,0)</f>
        <v>0</v>
      </c>
      <c r="AK92" s="44">
        <f>IF(AN92=15,L92,0)</f>
        <v>0</v>
      </c>
      <c r="AL92" s="44">
        <f>IF(AN92=21,L92,0)</f>
        <v>0</v>
      </c>
      <c r="AN92" s="44">
        <v>21</v>
      </c>
      <c r="AO92" s="44">
        <f>K92*0</f>
        <v>0</v>
      </c>
      <c r="AP92" s="44">
        <f>K92*(1-0)</f>
        <v>0</v>
      </c>
      <c r="AQ92" s="45" t="s">
        <v>80</v>
      </c>
      <c r="AV92" s="44">
        <f>AW92+AX92</f>
        <v>0</v>
      </c>
      <c r="AW92" s="44">
        <f>J92*AO92</f>
        <v>0</v>
      </c>
      <c r="AX92" s="44">
        <f>J92*AP92</f>
        <v>0</v>
      </c>
      <c r="AY92" s="45" t="s">
        <v>303</v>
      </c>
      <c r="AZ92" s="45" t="s">
        <v>287</v>
      </c>
      <c r="BA92" s="24" t="s">
        <v>56</v>
      </c>
      <c r="BC92" s="44">
        <f>AW92+AX92</f>
        <v>0</v>
      </c>
      <c r="BD92" s="44">
        <f>K92/(100-BE92)*100</f>
        <v>0</v>
      </c>
      <c r="BE92" s="44">
        <v>0</v>
      </c>
      <c r="BF92" s="44">
        <f>92</f>
        <v>92</v>
      </c>
      <c r="BH92" s="44">
        <f>J92*AO92</f>
        <v>0</v>
      </c>
      <c r="BI92" s="44">
        <f>J92*AP92</f>
        <v>0</v>
      </c>
      <c r="BJ92" s="44">
        <f>J92*K92</f>
        <v>0</v>
      </c>
      <c r="BK92" s="44" t="s">
        <v>57</v>
      </c>
      <c r="BL92" s="44">
        <v>784</v>
      </c>
    </row>
    <row r="93" spans="1:64" ht="19.5" customHeight="1">
      <c r="A93" s="38" t="s">
        <v>304</v>
      </c>
      <c r="B93" s="39" t="s">
        <v>305</v>
      </c>
      <c r="C93" s="39" t="s">
        <v>306</v>
      </c>
      <c r="D93" s="39"/>
      <c r="E93" s="39"/>
      <c r="F93" s="39"/>
      <c r="G93" s="39"/>
      <c r="H93" s="39"/>
      <c r="I93" s="39" t="s">
        <v>158</v>
      </c>
      <c r="J93" s="42">
        <v>20</v>
      </c>
      <c r="K93" s="41">
        <v>0</v>
      </c>
      <c r="L93" s="42">
        <f>J93*K93</f>
        <v>0</v>
      </c>
      <c r="M93" s="43" t="s">
        <v>53</v>
      </c>
      <c r="N93" s="8"/>
      <c r="Z93" s="44">
        <f>IF(AQ93="5",BJ93,0)</f>
        <v>0</v>
      </c>
      <c r="AB93" s="44">
        <f>IF(AQ93="1",BH93,0)</f>
        <v>0</v>
      </c>
      <c r="AC93" s="44">
        <f>IF(AQ93="1",BI93,0)</f>
        <v>0</v>
      </c>
      <c r="AD93" s="44">
        <f>IF(AQ93="7",BH93,0)</f>
        <v>0</v>
      </c>
      <c r="AE93" s="44">
        <f>IF(AQ93="7",BI93,0)</f>
        <v>0</v>
      </c>
      <c r="AF93" s="44">
        <f>IF(AQ93="2",BH93,0)</f>
        <v>0</v>
      </c>
      <c r="AG93" s="44">
        <f>IF(AQ93="2",BI93,0)</f>
        <v>0</v>
      </c>
      <c r="AH93" s="44">
        <f>IF(AQ93="0",BJ93,0)</f>
        <v>0</v>
      </c>
      <c r="AI93" s="24"/>
      <c r="AJ93" s="44">
        <f>IF(AN93=0,L93,0)</f>
        <v>0</v>
      </c>
      <c r="AK93" s="44">
        <f>IF(AN93=15,L93,0)</f>
        <v>0</v>
      </c>
      <c r="AL93" s="44">
        <f>IF(AN93=21,L93,0)</f>
        <v>0</v>
      </c>
      <c r="AN93" s="44">
        <v>21</v>
      </c>
      <c r="AO93" s="44">
        <f>K93*0.116627265563436</f>
        <v>0</v>
      </c>
      <c r="AP93" s="44">
        <f>K93*(1-0.116627265563436)</f>
        <v>0</v>
      </c>
      <c r="AQ93" s="45" t="s">
        <v>80</v>
      </c>
      <c r="AV93" s="44">
        <f>AW93+AX93</f>
        <v>0</v>
      </c>
      <c r="AW93" s="44">
        <f>J93*AO93</f>
        <v>0</v>
      </c>
      <c r="AX93" s="44">
        <f>J93*AP93</f>
        <v>0</v>
      </c>
      <c r="AY93" s="45" t="s">
        <v>303</v>
      </c>
      <c r="AZ93" s="45" t="s">
        <v>287</v>
      </c>
      <c r="BA93" s="24" t="s">
        <v>56</v>
      </c>
      <c r="BC93" s="44">
        <f>AW93+AX93</f>
        <v>0</v>
      </c>
      <c r="BD93" s="44">
        <f>K93/(100-BE93)*100</f>
        <v>0</v>
      </c>
      <c r="BE93" s="44">
        <v>0</v>
      </c>
      <c r="BF93" s="44">
        <f>93</f>
        <v>93</v>
      </c>
      <c r="BH93" s="44">
        <f>J93*AO93</f>
        <v>0</v>
      </c>
      <c r="BI93" s="44">
        <f>J93*AP93</f>
        <v>0</v>
      </c>
      <c r="BJ93" s="44">
        <f>J93*K93</f>
        <v>0</v>
      </c>
      <c r="BK93" s="44" t="s">
        <v>57</v>
      </c>
      <c r="BL93" s="44">
        <v>784</v>
      </c>
    </row>
    <row r="94" spans="1:64" ht="19.5" customHeight="1">
      <c r="A94" s="38" t="s">
        <v>307</v>
      </c>
      <c r="B94" s="39" t="s">
        <v>308</v>
      </c>
      <c r="C94" s="39" t="s">
        <v>309</v>
      </c>
      <c r="D94" s="39"/>
      <c r="E94" s="39"/>
      <c r="F94" s="39"/>
      <c r="G94" s="39"/>
      <c r="H94" s="39"/>
      <c r="I94" s="39" t="s">
        <v>78</v>
      </c>
      <c r="J94" s="42">
        <v>76.24</v>
      </c>
      <c r="K94" s="41">
        <v>0</v>
      </c>
      <c r="L94" s="42">
        <f>J94*K94</f>
        <v>0</v>
      </c>
      <c r="M94" s="43" t="s">
        <v>53</v>
      </c>
      <c r="N94" s="8"/>
      <c r="Z94" s="44">
        <f>IF(AQ94="5",BJ94,0)</f>
        <v>0</v>
      </c>
      <c r="AB94" s="44">
        <f>IF(AQ94="1",BH94,0)</f>
        <v>0</v>
      </c>
      <c r="AC94" s="44">
        <f>IF(AQ94="1",BI94,0)</f>
        <v>0</v>
      </c>
      <c r="AD94" s="44">
        <f>IF(AQ94="7",BH94,0)</f>
        <v>0</v>
      </c>
      <c r="AE94" s="44">
        <f>IF(AQ94="7",BI94,0)</f>
        <v>0</v>
      </c>
      <c r="AF94" s="44">
        <f>IF(AQ94="2",BH94,0)</f>
        <v>0</v>
      </c>
      <c r="AG94" s="44">
        <f>IF(AQ94="2",BI94,0)</f>
        <v>0</v>
      </c>
      <c r="AH94" s="44">
        <f>IF(AQ94="0",BJ94,0)</f>
        <v>0</v>
      </c>
      <c r="AI94" s="24"/>
      <c r="AJ94" s="44">
        <f>IF(AN94=0,L94,0)</f>
        <v>0</v>
      </c>
      <c r="AK94" s="44">
        <f>IF(AN94=15,L94,0)</f>
        <v>0</v>
      </c>
      <c r="AL94" s="44">
        <f>IF(AN94=21,L94,0)</f>
        <v>0</v>
      </c>
      <c r="AN94" s="44">
        <v>21</v>
      </c>
      <c r="AO94" s="44">
        <f>K94*0.411222171652125</f>
        <v>0</v>
      </c>
      <c r="AP94" s="44">
        <f>K94*(1-0.411222171652125)</f>
        <v>0</v>
      </c>
      <c r="AQ94" s="45" t="s">
        <v>80</v>
      </c>
      <c r="AV94" s="44">
        <f>AW94+AX94</f>
        <v>0</v>
      </c>
      <c r="AW94" s="44">
        <f>J94*AO94</f>
        <v>0</v>
      </c>
      <c r="AX94" s="44">
        <f>J94*AP94</f>
        <v>0</v>
      </c>
      <c r="AY94" s="45" t="s">
        <v>303</v>
      </c>
      <c r="AZ94" s="45" t="s">
        <v>287</v>
      </c>
      <c r="BA94" s="24" t="s">
        <v>56</v>
      </c>
      <c r="BC94" s="44">
        <f>AW94+AX94</f>
        <v>0</v>
      </c>
      <c r="BD94" s="44">
        <f>K94/(100-BE94)*100</f>
        <v>0</v>
      </c>
      <c r="BE94" s="44">
        <v>0</v>
      </c>
      <c r="BF94" s="44">
        <f>94</f>
        <v>94</v>
      </c>
      <c r="BH94" s="44">
        <f>J94*AO94</f>
        <v>0</v>
      </c>
      <c r="BI94" s="44">
        <f>J94*AP94</f>
        <v>0</v>
      </c>
      <c r="BJ94" s="44">
        <f>J94*K94</f>
        <v>0</v>
      </c>
      <c r="BK94" s="44" t="s">
        <v>57</v>
      </c>
      <c r="BL94" s="44">
        <v>784</v>
      </c>
    </row>
    <row r="95" spans="1:64" ht="19.5" customHeight="1">
      <c r="A95" s="38" t="s">
        <v>310</v>
      </c>
      <c r="B95" s="39" t="s">
        <v>311</v>
      </c>
      <c r="C95" s="39" t="s">
        <v>312</v>
      </c>
      <c r="D95" s="39"/>
      <c r="E95" s="39"/>
      <c r="F95" s="39"/>
      <c r="G95" s="39"/>
      <c r="H95" s="39"/>
      <c r="I95" s="39" t="s">
        <v>78</v>
      </c>
      <c r="J95" s="42">
        <v>76.24</v>
      </c>
      <c r="K95" s="41">
        <v>0</v>
      </c>
      <c r="L95" s="42">
        <f>J95*K95</f>
        <v>0</v>
      </c>
      <c r="M95" s="43" t="s">
        <v>53</v>
      </c>
      <c r="N95" s="8"/>
      <c r="Z95" s="44">
        <f>IF(AQ95="5",BJ95,0)</f>
        <v>0</v>
      </c>
      <c r="AB95" s="44">
        <f>IF(AQ95="1",BH95,0)</f>
        <v>0</v>
      </c>
      <c r="AC95" s="44">
        <f>IF(AQ95="1",BI95,0)</f>
        <v>0</v>
      </c>
      <c r="AD95" s="44">
        <f>IF(AQ95="7",BH95,0)</f>
        <v>0</v>
      </c>
      <c r="AE95" s="44">
        <f>IF(AQ95="7",BI95,0)</f>
        <v>0</v>
      </c>
      <c r="AF95" s="44">
        <f>IF(AQ95="2",BH95,0)</f>
        <v>0</v>
      </c>
      <c r="AG95" s="44">
        <f>IF(AQ95="2",BI95,0)</f>
        <v>0</v>
      </c>
      <c r="AH95" s="44">
        <f>IF(AQ95="0",BJ95,0)</f>
        <v>0</v>
      </c>
      <c r="AI95" s="24"/>
      <c r="AJ95" s="44">
        <f>IF(AN95=0,L95,0)</f>
        <v>0</v>
      </c>
      <c r="AK95" s="44">
        <f>IF(AN95=15,L95,0)</f>
        <v>0</v>
      </c>
      <c r="AL95" s="44">
        <f>IF(AN95=21,L95,0)</f>
        <v>0</v>
      </c>
      <c r="AN95" s="44">
        <v>21</v>
      </c>
      <c r="AO95" s="44">
        <f>K95*0.247752717706681</f>
        <v>0</v>
      </c>
      <c r="AP95" s="44">
        <f>K95*(1-0.247752717706681)</f>
        <v>0</v>
      </c>
      <c r="AQ95" s="45" t="s">
        <v>80</v>
      </c>
      <c r="AV95" s="44">
        <f>AW95+AX95</f>
        <v>0</v>
      </c>
      <c r="AW95" s="44">
        <f>J95*AO95</f>
        <v>0</v>
      </c>
      <c r="AX95" s="44">
        <f>J95*AP95</f>
        <v>0</v>
      </c>
      <c r="AY95" s="45" t="s">
        <v>303</v>
      </c>
      <c r="AZ95" s="45" t="s">
        <v>287</v>
      </c>
      <c r="BA95" s="24" t="s">
        <v>56</v>
      </c>
      <c r="BC95" s="44">
        <f>AW95+AX95</f>
        <v>0</v>
      </c>
      <c r="BD95" s="44">
        <f>K95/(100-BE95)*100</f>
        <v>0</v>
      </c>
      <c r="BE95" s="44">
        <v>0</v>
      </c>
      <c r="BF95" s="44">
        <f>95</f>
        <v>95</v>
      </c>
      <c r="BH95" s="44">
        <f>J95*AO95</f>
        <v>0</v>
      </c>
      <c r="BI95" s="44">
        <f>J95*AP95</f>
        <v>0</v>
      </c>
      <c r="BJ95" s="44">
        <f>J95*K95</f>
        <v>0</v>
      </c>
      <c r="BK95" s="44" t="s">
        <v>57</v>
      </c>
      <c r="BL95" s="44">
        <v>784</v>
      </c>
    </row>
    <row r="96" spans="1:64" ht="19.5" customHeight="1">
      <c r="A96" s="38" t="s">
        <v>313</v>
      </c>
      <c r="B96" s="39" t="s">
        <v>314</v>
      </c>
      <c r="C96" s="39" t="s">
        <v>315</v>
      </c>
      <c r="D96" s="39"/>
      <c r="E96" s="39"/>
      <c r="F96" s="39"/>
      <c r="G96" s="39"/>
      <c r="H96" s="39"/>
      <c r="I96" s="39" t="s">
        <v>78</v>
      </c>
      <c r="J96" s="42">
        <v>76.24</v>
      </c>
      <c r="K96" s="41">
        <v>0</v>
      </c>
      <c r="L96" s="42">
        <f>J96*K96</f>
        <v>0</v>
      </c>
      <c r="M96" s="43" t="s">
        <v>53</v>
      </c>
      <c r="N96" s="8"/>
      <c r="Z96" s="44">
        <f>IF(AQ96="5",BJ96,0)</f>
        <v>0</v>
      </c>
      <c r="AB96" s="44">
        <f>IF(AQ96="1",BH96,0)</f>
        <v>0</v>
      </c>
      <c r="AC96" s="44">
        <f>IF(AQ96="1",BI96,0)</f>
        <v>0</v>
      </c>
      <c r="AD96" s="44">
        <f>IF(AQ96="7",BH96,0)</f>
        <v>0</v>
      </c>
      <c r="AE96" s="44">
        <f>IF(AQ96="7",BI96,0)</f>
        <v>0</v>
      </c>
      <c r="AF96" s="44">
        <f>IF(AQ96="2",BH96,0)</f>
        <v>0</v>
      </c>
      <c r="AG96" s="44">
        <f>IF(AQ96="2",BI96,0)</f>
        <v>0</v>
      </c>
      <c r="AH96" s="44">
        <f>IF(AQ96="0",BJ96,0)</f>
        <v>0</v>
      </c>
      <c r="AI96" s="24"/>
      <c r="AJ96" s="44">
        <f>IF(AN96=0,L96,0)</f>
        <v>0</v>
      </c>
      <c r="AK96" s="44">
        <f>IF(AN96=15,L96,0)</f>
        <v>0</v>
      </c>
      <c r="AL96" s="44">
        <f>IF(AN96=21,L96,0)</f>
        <v>0</v>
      </c>
      <c r="AN96" s="44">
        <v>21</v>
      </c>
      <c r="AO96" s="44">
        <f>K96*0.00271084123152534</f>
        <v>0</v>
      </c>
      <c r="AP96" s="44">
        <f>K96*(1-0.00271084123152534)</f>
        <v>0</v>
      </c>
      <c r="AQ96" s="45" t="s">
        <v>80</v>
      </c>
      <c r="AV96" s="44">
        <f>AW96+AX96</f>
        <v>0</v>
      </c>
      <c r="AW96" s="44">
        <f>J96*AO96</f>
        <v>0</v>
      </c>
      <c r="AX96" s="44">
        <f>J96*AP96</f>
        <v>0</v>
      </c>
      <c r="AY96" s="45" t="s">
        <v>303</v>
      </c>
      <c r="AZ96" s="45" t="s">
        <v>287</v>
      </c>
      <c r="BA96" s="24" t="s">
        <v>56</v>
      </c>
      <c r="BC96" s="44">
        <f>AW96+AX96</f>
        <v>0</v>
      </c>
      <c r="BD96" s="44">
        <f>K96/(100-BE96)*100</f>
        <v>0</v>
      </c>
      <c r="BE96" s="44">
        <v>0</v>
      </c>
      <c r="BF96" s="44">
        <f>96</f>
        <v>96</v>
      </c>
      <c r="BH96" s="44">
        <f>J96*AO96</f>
        <v>0</v>
      </c>
      <c r="BI96" s="44">
        <f>J96*AP96</f>
        <v>0</v>
      </c>
      <c r="BJ96" s="44">
        <f>J96*K96</f>
        <v>0</v>
      </c>
      <c r="BK96" s="44" t="s">
        <v>57</v>
      </c>
      <c r="BL96" s="44">
        <v>784</v>
      </c>
    </row>
    <row r="97" spans="1:47" ht="19.5" customHeight="1">
      <c r="A97" s="46"/>
      <c r="B97" s="47" t="s">
        <v>316</v>
      </c>
      <c r="C97" s="47" t="s">
        <v>317</v>
      </c>
      <c r="D97" s="47"/>
      <c r="E97" s="47"/>
      <c r="F97" s="47"/>
      <c r="G97" s="47"/>
      <c r="H97" s="47"/>
      <c r="I97" s="48" t="s">
        <v>4</v>
      </c>
      <c r="J97" s="48" t="s">
        <v>4</v>
      </c>
      <c r="K97" s="48" t="s">
        <v>4</v>
      </c>
      <c r="L97" s="49">
        <f>SUM(L98:L99)</f>
        <v>0</v>
      </c>
      <c r="M97" s="50"/>
      <c r="N97" s="8"/>
      <c r="AI97" s="24"/>
      <c r="AS97" s="37">
        <f>SUM(AJ98:AJ99)</f>
        <v>0</v>
      </c>
      <c r="AT97" s="37">
        <f>SUM(AK98:AK99)</f>
        <v>0</v>
      </c>
      <c r="AU97" s="37">
        <f>SUM(AL98:AL99)</f>
        <v>0</v>
      </c>
    </row>
    <row r="98" spans="1:64" ht="19.5" customHeight="1">
      <c r="A98" s="38" t="s">
        <v>318</v>
      </c>
      <c r="B98" s="39" t="s">
        <v>319</v>
      </c>
      <c r="C98" s="39" t="s">
        <v>320</v>
      </c>
      <c r="D98" s="39"/>
      <c r="E98" s="39"/>
      <c r="F98" s="39"/>
      <c r="G98" s="39"/>
      <c r="H98" s="39"/>
      <c r="I98" s="39" t="s">
        <v>170</v>
      </c>
      <c r="J98" s="42">
        <v>3</v>
      </c>
      <c r="K98" s="41">
        <v>0</v>
      </c>
      <c r="L98" s="42">
        <f>J98*K98</f>
        <v>0</v>
      </c>
      <c r="M98" s="43" t="s">
        <v>53</v>
      </c>
      <c r="N98" s="8"/>
      <c r="Z98" s="44">
        <f>IF(AQ98="5",BJ98,0)</f>
        <v>0</v>
      </c>
      <c r="AB98" s="44">
        <f>IF(AQ98="1",BH98,0)</f>
        <v>0</v>
      </c>
      <c r="AC98" s="44">
        <f>IF(AQ98="1",BI98,0)</f>
        <v>0</v>
      </c>
      <c r="AD98" s="44">
        <f>IF(AQ98="7",BH98,0)</f>
        <v>0</v>
      </c>
      <c r="AE98" s="44">
        <f>IF(AQ98="7",BI98,0)</f>
        <v>0</v>
      </c>
      <c r="AF98" s="44">
        <f>IF(AQ98="2",BH98,0)</f>
        <v>0</v>
      </c>
      <c r="AG98" s="44">
        <f>IF(AQ98="2",BI98,0)</f>
        <v>0</v>
      </c>
      <c r="AH98" s="44">
        <f>IF(AQ98="0",BJ98,0)</f>
        <v>0</v>
      </c>
      <c r="AI98" s="24"/>
      <c r="AJ98" s="44">
        <f>IF(AN98=0,L98,0)</f>
        <v>0</v>
      </c>
      <c r="AK98" s="44">
        <f>IF(AN98=15,L98,0)</f>
        <v>0</v>
      </c>
      <c r="AL98" s="44">
        <f>IF(AN98=21,L98,0)</f>
        <v>0</v>
      </c>
      <c r="AN98" s="44">
        <v>21</v>
      </c>
      <c r="AO98" s="44">
        <f>K98*0.303219815726626</f>
        <v>0</v>
      </c>
      <c r="AP98" s="44">
        <f>K98*(1-0.303219815726626)</f>
        <v>0</v>
      </c>
      <c r="AQ98" s="45" t="s">
        <v>49</v>
      </c>
      <c r="AV98" s="44">
        <f>AW98+AX98</f>
        <v>0</v>
      </c>
      <c r="AW98" s="44">
        <f>J98*AO98</f>
        <v>0</v>
      </c>
      <c r="AX98" s="44">
        <f>J98*AP98</f>
        <v>0</v>
      </c>
      <c r="AY98" s="45" t="s">
        <v>321</v>
      </c>
      <c r="AZ98" s="45" t="s">
        <v>322</v>
      </c>
      <c r="BA98" s="24" t="s">
        <v>56</v>
      </c>
      <c r="BC98" s="44">
        <f>AW98+AX98</f>
        <v>0</v>
      </c>
      <c r="BD98" s="44">
        <f>K98/(100-BE98)*100</f>
        <v>0</v>
      </c>
      <c r="BE98" s="44">
        <v>0</v>
      </c>
      <c r="BF98" s="44">
        <f>98</f>
        <v>98</v>
      </c>
      <c r="BH98" s="44">
        <f>J98*AO98</f>
        <v>0</v>
      </c>
      <c r="BI98" s="44">
        <f>J98*AP98</f>
        <v>0</v>
      </c>
      <c r="BJ98" s="44">
        <f>J98*K98</f>
        <v>0</v>
      </c>
      <c r="BK98" s="44" t="s">
        <v>57</v>
      </c>
      <c r="BL98" s="44">
        <v>89</v>
      </c>
    </row>
    <row r="99" spans="1:64" ht="19.5" customHeight="1">
      <c r="A99" s="38" t="s">
        <v>323</v>
      </c>
      <c r="B99" s="39" t="s">
        <v>324</v>
      </c>
      <c r="C99" s="39" t="s">
        <v>325</v>
      </c>
      <c r="D99" s="39"/>
      <c r="E99" s="39"/>
      <c r="F99" s="39"/>
      <c r="G99" s="39"/>
      <c r="H99" s="39"/>
      <c r="I99" s="39" t="s">
        <v>170</v>
      </c>
      <c r="J99" s="42">
        <v>1</v>
      </c>
      <c r="K99" s="41">
        <v>0</v>
      </c>
      <c r="L99" s="42">
        <f>J99*K99</f>
        <v>0</v>
      </c>
      <c r="M99" s="43" t="s">
        <v>53</v>
      </c>
      <c r="N99" s="8"/>
      <c r="Z99" s="44">
        <f>IF(AQ99="5",BJ99,0)</f>
        <v>0</v>
      </c>
      <c r="AB99" s="44">
        <f>IF(AQ99="1",BH99,0)</f>
        <v>0</v>
      </c>
      <c r="AC99" s="44">
        <f>IF(AQ99="1",BI99,0)</f>
        <v>0</v>
      </c>
      <c r="AD99" s="44">
        <f>IF(AQ99="7",BH99,0)</f>
        <v>0</v>
      </c>
      <c r="AE99" s="44">
        <f>IF(AQ99="7",BI99,0)</f>
        <v>0</v>
      </c>
      <c r="AF99" s="44">
        <f>IF(AQ99="2",BH99,0)</f>
        <v>0</v>
      </c>
      <c r="AG99" s="44">
        <f>IF(AQ99="2",BI99,0)</f>
        <v>0</v>
      </c>
      <c r="AH99" s="44">
        <f>IF(AQ99="0",BJ99,0)</f>
        <v>0</v>
      </c>
      <c r="AI99" s="24"/>
      <c r="AJ99" s="44">
        <f>IF(AN99=0,L99,0)</f>
        <v>0</v>
      </c>
      <c r="AK99" s="44">
        <f>IF(AN99=15,L99,0)</f>
        <v>0</v>
      </c>
      <c r="AL99" s="44">
        <f>IF(AN99=21,L99,0)</f>
        <v>0</v>
      </c>
      <c r="AN99" s="44">
        <v>21</v>
      </c>
      <c r="AO99" s="44">
        <f>K99*0.30322</f>
        <v>0</v>
      </c>
      <c r="AP99" s="44">
        <f>K99*(1-0.30322)</f>
        <v>0</v>
      </c>
      <c r="AQ99" s="45" t="s">
        <v>49</v>
      </c>
      <c r="AV99" s="44">
        <f>AW99+AX99</f>
        <v>0</v>
      </c>
      <c r="AW99" s="44">
        <f>J99*AO99</f>
        <v>0</v>
      </c>
      <c r="AX99" s="44">
        <f>J99*AP99</f>
        <v>0</v>
      </c>
      <c r="AY99" s="45" t="s">
        <v>321</v>
      </c>
      <c r="AZ99" s="45" t="s">
        <v>322</v>
      </c>
      <c r="BA99" s="24" t="s">
        <v>56</v>
      </c>
      <c r="BC99" s="44">
        <f>AW99+AX99</f>
        <v>0</v>
      </c>
      <c r="BD99" s="44">
        <f>K99/(100-BE99)*100</f>
        <v>0</v>
      </c>
      <c r="BE99" s="44">
        <v>0</v>
      </c>
      <c r="BF99" s="44">
        <f>99</f>
        <v>99</v>
      </c>
      <c r="BH99" s="44">
        <f>J99*AO99</f>
        <v>0</v>
      </c>
      <c r="BI99" s="44">
        <f>J99*AP99</f>
        <v>0</v>
      </c>
      <c r="BJ99" s="44">
        <f>J99*K99</f>
        <v>0</v>
      </c>
      <c r="BK99" s="44" t="s">
        <v>57</v>
      </c>
      <c r="BL99" s="44">
        <v>89</v>
      </c>
    </row>
    <row r="100" spans="1:47" ht="19.5" customHeight="1">
      <c r="A100" s="46"/>
      <c r="B100" s="47" t="s">
        <v>326</v>
      </c>
      <c r="C100" s="47" t="s">
        <v>327</v>
      </c>
      <c r="D100" s="47"/>
      <c r="E100" s="47"/>
      <c r="F100" s="47"/>
      <c r="G100" s="47"/>
      <c r="H100" s="47"/>
      <c r="I100" s="48" t="s">
        <v>4</v>
      </c>
      <c r="J100" s="48" t="s">
        <v>4</v>
      </c>
      <c r="K100" s="48" t="s">
        <v>4</v>
      </c>
      <c r="L100" s="49">
        <f>SUM(L101:L101)</f>
        <v>0</v>
      </c>
      <c r="M100" s="50"/>
      <c r="N100" s="8"/>
      <c r="AI100" s="24"/>
      <c r="AS100" s="37">
        <f>SUM(AJ101:AJ101)</f>
        <v>0</v>
      </c>
      <c r="AT100" s="37">
        <f>SUM(AK101:AK101)</f>
        <v>0</v>
      </c>
      <c r="AU100" s="37">
        <f>SUM(AL101:AL101)</f>
        <v>0</v>
      </c>
    </row>
    <row r="101" spans="1:64" ht="19.5" customHeight="1">
      <c r="A101" s="38" t="s">
        <v>328</v>
      </c>
      <c r="B101" s="39" t="s">
        <v>329</v>
      </c>
      <c r="C101" s="39" t="s">
        <v>330</v>
      </c>
      <c r="D101" s="39"/>
      <c r="E101" s="39"/>
      <c r="F101" s="39"/>
      <c r="G101" s="39"/>
      <c r="H101" s="39"/>
      <c r="I101" s="39" t="s">
        <v>204</v>
      </c>
      <c r="J101" s="42">
        <v>1</v>
      </c>
      <c r="K101" s="41">
        <v>0</v>
      </c>
      <c r="L101" s="42">
        <f>J101*K101</f>
        <v>0</v>
      </c>
      <c r="M101" s="43" t="s">
        <v>53</v>
      </c>
      <c r="N101" s="8"/>
      <c r="Z101" s="44">
        <f>IF(AQ101="5",BJ101,0)</f>
        <v>0</v>
      </c>
      <c r="AB101" s="44">
        <f>IF(AQ101="1",BH101,0)</f>
        <v>0</v>
      </c>
      <c r="AC101" s="44">
        <f>IF(AQ101="1",BI101,0)</f>
        <v>0</v>
      </c>
      <c r="AD101" s="44">
        <f>IF(AQ101="7",BH101,0)</f>
        <v>0</v>
      </c>
      <c r="AE101" s="44">
        <f>IF(AQ101="7",BI101,0)</f>
        <v>0</v>
      </c>
      <c r="AF101" s="44">
        <f>IF(AQ101="2",BH101,0)</f>
        <v>0</v>
      </c>
      <c r="AG101" s="44">
        <f>IF(AQ101="2",BI101,0)</f>
        <v>0</v>
      </c>
      <c r="AH101" s="44">
        <f>IF(AQ101="0",BJ101,0)</f>
        <v>0</v>
      </c>
      <c r="AI101" s="24"/>
      <c r="AJ101" s="44">
        <f>IF(AN101=0,L101,0)</f>
        <v>0</v>
      </c>
      <c r="AK101" s="44">
        <f>IF(AN101=15,L101,0)</f>
        <v>0</v>
      </c>
      <c r="AL101" s="44">
        <f>IF(AN101=21,L101,0)</f>
        <v>0</v>
      </c>
      <c r="AN101" s="44">
        <v>21</v>
      </c>
      <c r="AO101" s="44">
        <f>K101*0.0588235294117647</f>
        <v>0</v>
      </c>
      <c r="AP101" s="44">
        <f>K101*(1-0.0588235294117647)</f>
        <v>0</v>
      </c>
      <c r="AQ101" s="45" t="s">
        <v>49</v>
      </c>
      <c r="AV101" s="44">
        <f>AW101+AX101</f>
        <v>0</v>
      </c>
      <c r="AW101" s="44">
        <f>J101*AO101</f>
        <v>0</v>
      </c>
      <c r="AX101" s="44">
        <f>J101*AP101</f>
        <v>0</v>
      </c>
      <c r="AY101" s="45" t="s">
        <v>331</v>
      </c>
      <c r="AZ101" s="45" t="s">
        <v>332</v>
      </c>
      <c r="BA101" s="24" t="s">
        <v>56</v>
      </c>
      <c r="BC101" s="44">
        <f>AW101+AX101</f>
        <v>0</v>
      </c>
      <c r="BD101" s="44">
        <f>K101/(100-BE101)*100</f>
        <v>0</v>
      </c>
      <c r="BE101" s="44">
        <v>0</v>
      </c>
      <c r="BF101" s="44">
        <f>101</f>
        <v>101</v>
      </c>
      <c r="BH101" s="44">
        <f>J101*AO101</f>
        <v>0</v>
      </c>
      <c r="BI101" s="44">
        <f>J101*AP101</f>
        <v>0</v>
      </c>
      <c r="BJ101" s="44">
        <f>J101*K101</f>
        <v>0</v>
      </c>
      <c r="BK101" s="44" t="s">
        <v>57</v>
      </c>
      <c r="BL101" s="44">
        <v>90</v>
      </c>
    </row>
    <row r="102" spans="1:47" ht="19.5" customHeight="1">
      <c r="A102" s="46"/>
      <c r="B102" s="47" t="s">
        <v>333</v>
      </c>
      <c r="C102" s="47" t="s">
        <v>334</v>
      </c>
      <c r="D102" s="47"/>
      <c r="E102" s="47"/>
      <c r="F102" s="47"/>
      <c r="G102" s="47"/>
      <c r="H102" s="47"/>
      <c r="I102" s="48" t="s">
        <v>4</v>
      </c>
      <c r="J102" s="48" t="s">
        <v>4</v>
      </c>
      <c r="K102" s="48" t="s">
        <v>4</v>
      </c>
      <c r="L102" s="49">
        <f>SUM(L103:L103)</f>
        <v>0</v>
      </c>
      <c r="M102" s="50"/>
      <c r="N102" s="8"/>
      <c r="AI102" s="24"/>
      <c r="AS102" s="37">
        <f>SUM(AJ103:AJ103)</f>
        <v>0</v>
      </c>
      <c r="AT102" s="37">
        <f>SUM(AK103:AK103)</f>
        <v>0</v>
      </c>
      <c r="AU102" s="37">
        <f>SUM(AL103:AL103)</f>
        <v>0</v>
      </c>
    </row>
    <row r="103" spans="1:64" ht="19.5" customHeight="1">
      <c r="A103" s="38" t="s">
        <v>335</v>
      </c>
      <c r="B103" s="39" t="s">
        <v>336</v>
      </c>
      <c r="C103" s="39" t="s">
        <v>337</v>
      </c>
      <c r="D103" s="39"/>
      <c r="E103" s="39"/>
      <c r="F103" s="39"/>
      <c r="G103" s="39"/>
      <c r="H103" s="39"/>
      <c r="I103" s="39" t="s">
        <v>78</v>
      </c>
      <c r="J103" s="42">
        <v>80</v>
      </c>
      <c r="K103" s="41">
        <v>0</v>
      </c>
      <c r="L103" s="42">
        <f>J103*K103</f>
        <v>0</v>
      </c>
      <c r="M103" s="43" t="s">
        <v>53</v>
      </c>
      <c r="N103" s="8"/>
      <c r="Z103" s="44">
        <f>IF(AQ103="5",BJ103,0)</f>
        <v>0</v>
      </c>
      <c r="AB103" s="44">
        <f>IF(AQ103="1",BH103,0)</f>
        <v>0</v>
      </c>
      <c r="AC103" s="44">
        <f>IF(AQ103="1",BI103,0)</f>
        <v>0</v>
      </c>
      <c r="AD103" s="44">
        <f>IF(AQ103="7",BH103,0)</f>
        <v>0</v>
      </c>
      <c r="AE103" s="44">
        <f>IF(AQ103="7",BI103,0)</f>
        <v>0</v>
      </c>
      <c r="AF103" s="44">
        <f>IF(AQ103="2",BH103,0)</f>
        <v>0</v>
      </c>
      <c r="AG103" s="44">
        <f>IF(AQ103="2",BI103,0)</f>
        <v>0</v>
      </c>
      <c r="AH103" s="44">
        <f>IF(AQ103="0",BJ103,0)</f>
        <v>0</v>
      </c>
      <c r="AI103" s="24"/>
      <c r="AJ103" s="44">
        <f>IF(AN103=0,L103,0)</f>
        <v>0</v>
      </c>
      <c r="AK103" s="44">
        <f>IF(AN103=15,L103,0)</f>
        <v>0</v>
      </c>
      <c r="AL103" s="44">
        <f>IF(AN103=21,L103,0)</f>
        <v>0</v>
      </c>
      <c r="AN103" s="44">
        <v>21</v>
      </c>
      <c r="AO103" s="44">
        <f>K103*0.34535891547522</f>
        <v>0</v>
      </c>
      <c r="AP103" s="44">
        <f>K103*(1-0.34535891547522)</f>
        <v>0</v>
      </c>
      <c r="AQ103" s="45" t="s">
        <v>49</v>
      </c>
      <c r="AV103" s="44">
        <f>AW103+AX103</f>
        <v>0</v>
      </c>
      <c r="AW103" s="44">
        <f>J103*AO103</f>
        <v>0</v>
      </c>
      <c r="AX103" s="44">
        <f>J103*AP103</f>
        <v>0</v>
      </c>
      <c r="AY103" s="45" t="s">
        <v>338</v>
      </c>
      <c r="AZ103" s="45" t="s">
        <v>332</v>
      </c>
      <c r="BA103" s="24" t="s">
        <v>56</v>
      </c>
      <c r="BC103" s="44">
        <f>AW103+AX103</f>
        <v>0</v>
      </c>
      <c r="BD103" s="44">
        <f>K103/(100-BE103)*100</f>
        <v>0</v>
      </c>
      <c r="BE103" s="44">
        <v>0</v>
      </c>
      <c r="BF103" s="44">
        <f>103</f>
        <v>103</v>
      </c>
      <c r="BH103" s="44">
        <f>J103*AO103</f>
        <v>0</v>
      </c>
      <c r="BI103" s="44">
        <f>J103*AP103</f>
        <v>0</v>
      </c>
      <c r="BJ103" s="44">
        <f>J103*K103</f>
        <v>0</v>
      </c>
      <c r="BK103" s="44" t="s">
        <v>57</v>
      </c>
      <c r="BL103" s="44">
        <v>94</v>
      </c>
    </row>
    <row r="104" spans="1:47" ht="19.5" customHeight="1">
      <c r="A104" s="46"/>
      <c r="B104" s="47" t="s">
        <v>339</v>
      </c>
      <c r="C104" s="47" t="s">
        <v>340</v>
      </c>
      <c r="D104" s="47"/>
      <c r="E104" s="47"/>
      <c r="F104" s="47"/>
      <c r="G104" s="47"/>
      <c r="H104" s="47"/>
      <c r="I104" s="48" t="s">
        <v>4</v>
      </c>
      <c r="J104" s="48" t="s">
        <v>4</v>
      </c>
      <c r="K104" s="48" t="s">
        <v>4</v>
      </c>
      <c r="L104" s="49">
        <f>SUM(L105:L106)</f>
        <v>0</v>
      </c>
      <c r="M104" s="50"/>
      <c r="N104" s="8"/>
      <c r="AI104" s="24"/>
      <c r="AS104" s="37">
        <f>SUM(AJ105:AJ106)</f>
        <v>0</v>
      </c>
      <c r="AT104" s="37">
        <f>SUM(AK105:AK106)</f>
        <v>0</v>
      </c>
      <c r="AU104" s="37">
        <f>SUM(AL105:AL106)</f>
        <v>0</v>
      </c>
    </row>
    <row r="105" spans="1:64" ht="19.5" customHeight="1">
      <c r="A105" s="38" t="s">
        <v>341</v>
      </c>
      <c r="B105" s="39" t="s">
        <v>342</v>
      </c>
      <c r="C105" s="39" t="s">
        <v>343</v>
      </c>
      <c r="D105" s="39"/>
      <c r="E105" s="39"/>
      <c r="F105" s="39"/>
      <c r="G105" s="39"/>
      <c r="H105" s="39"/>
      <c r="I105" s="39" t="s">
        <v>78</v>
      </c>
      <c r="J105" s="42">
        <v>100</v>
      </c>
      <c r="K105" s="41">
        <v>0</v>
      </c>
      <c r="L105" s="42">
        <f>J105*K105</f>
        <v>0</v>
      </c>
      <c r="M105" s="43" t="s">
        <v>53</v>
      </c>
      <c r="N105" s="8"/>
      <c r="Z105" s="44">
        <f>IF(AQ105="5",BJ105,0)</f>
        <v>0</v>
      </c>
      <c r="AB105" s="44">
        <f>IF(AQ105="1",BH105,0)</f>
        <v>0</v>
      </c>
      <c r="AC105" s="44">
        <f>IF(AQ105="1",BI105,0)</f>
        <v>0</v>
      </c>
      <c r="AD105" s="44">
        <f>IF(AQ105="7",BH105,0)</f>
        <v>0</v>
      </c>
      <c r="AE105" s="44">
        <f>IF(AQ105="7",BI105,0)</f>
        <v>0</v>
      </c>
      <c r="AF105" s="44">
        <f>IF(AQ105="2",BH105,0)</f>
        <v>0</v>
      </c>
      <c r="AG105" s="44">
        <f>IF(AQ105="2",BI105,0)</f>
        <v>0</v>
      </c>
      <c r="AH105" s="44">
        <f>IF(AQ105="0",BJ105,0)</f>
        <v>0</v>
      </c>
      <c r="AI105" s="24"/>
      <c r="AJ105" s="44">
        <f>IF(AN105=0,L105,0)</f>
        <v>0</v>
      </c>
      <c r="AK105" s="44">
        <f>IF(AN105=15,L105,0)</f>
        <v>0</v>
      </c>
      <c r="AL105" s="44">
        <f>IF(AN105=21,L105,0)</f>
        <v>0</v>
      </c>
      <c r="AN105" s="44">
        <v>21</v>
      </c>
      <c r="AO105" s="44">
        <f>K105*0.112058823529412</f>
        <v>0</v>
      </c>
      <c r="AP105" s="44">
        <f>K105*(1-0.112058823529412)</f>
        <v>0</v>
      </c>
      <c r="AQ105" s="45" t="s">
        <v>49</v>
      </c>
      <c r="AV105" s="44">
        <f>AW105+AX105</f>
        <v>0</v>
      </c>
      <c r="AW105" s="44">
        <f>J105*AO105</f>
        <v>0</v>
      </c>
      <c r="AX105" s="44">
        <f>J105*AP105</f>
        <v>0</v>
      </c>
      <c r="AY105" s="45" t="s">
        <v>344</v>
      </c>
      <c r="AZ105" s="45" t="s">
        <v>332</v>
      </c>
      <c r="BA105" s="24" t="s">
        <v>56</v>
      </c>
      <c r="BC105" s="44">
        <f>AW105+AX105</f>
        <v>0</v>
      </c>
      <c r="BD105" s="44">
        <f>K105/(100-BE105)*100</f>
        <v>0</v>
      </c>
      <c r="BE105" s="44">
        <v>0</v>
      </c>
      <c r="BF105" s="44">
        <f>105</f>
        <v>105</v>
      </c>
      <c r="BH105" s="44">
        <f>J105*AO105</f>
        <v>0</v>
      </c>
      <c r="BI105" s="44">
        <f>J105*AP105</f>
        <v>0</v>
      </c>
      <c r="BJ105" s="44">
        <f>J105*K105</f>
        <v>0</v>
      </c>
      <c r="BK105" s="44" t="s">
        <v>57</v>
      </c>
      <c r="BL105" s="44">
        <v>95</v>
      </c>
    </row>
    <row r="106" spans="1:64" ht="19.5" customHeight="1">
      <c r="A106" s="38" t="s">
        <v>345</v>
      </c>
      <c r="B106" s="39" t="s">
        <v>346</v>
      </c>
      <c r="C106" s="39" t="s">
        <v>347</v>
      </c>
      <c r="D106" s="39"/>
      <c r="E106" s="39"/>
      <c r="F106" s="39"/>
      <c r="G106" s="39"/>
      <c r="H106" s="39"/>
      <c r="I106" s="39" t="s">
        <v>78</v>
      </c>
      <c r="J106" s="42">
        <v>1000</v>
      </c>
      <c r="K106" s="41">
        <v>0</v>
      </c>
      <c r="L106" s="42">
        <f>J106*K106</f>
        <v>0</v>
      </c>
      <c r="M106" s="43" t="s">
        <v>53</v>
      </c>
      <c r="N106" s="8"/>
      <c r="Z106" s="44">
        <f>IF(AQ106="5",BJ106,0)</f>
        <v>0</v>
      </c>
      <c r="AB106" s="44">
        <f>IF(AQ106="1",BH106,0)</f>
        <v>0</v>
      </c>
      <c r="AC106" s="44">
        <f>IF(AQ106="1",BI106,0)</f>
        <v>0</v>
      </c>
      <c r="AD106" s="44">
        <f>IF(AQ106="7",BH106,0)</f>
        <v>0</v>
      </c>
      <c r="AE106" s="44">
        <f>IF(AQ106="7",BI106,0)</f>
        <v>0</v>
      </c>
      <c r="AF106" s="44">
        <f>IF(AQ106="2",BH106,0)</f>
        <v>0</v>
      </c>
      <c r="AG106" s="44">
        <f>IF(AQ106="2",BI106,0)</f>
        <v>0</v>
      </c>
      <c r="AH106" s="44">
        <f>IF(AQ106="0",BJ106,0)</f>
        <v>0</v>
      </c>
      <c r="AI106" s="24"/>
      <c r="AJ106" s="44">
        <f>IF(AN106=0,L106,0)</f>
        <v>0</v>
      </c>
      <c r="AK106" s="44">
        <f>IF(AN106=15,L106,0)</f>
        <v>0</v>
      </c>
      <c r="AL106" s="44">
        <f>IF(AN106=21,L106,0)</f>
        <v>0</v>
      </c>
      <c r="AN106" s="44">
        <v>21</v>
      </c>
      <c r="AO106" s="44">
        <f>K106*0</f>
        <v>0</v>
      </c>
      <c r="AP106" s="44">
        <f>K106*(1-0)</f>
        <v>0</v>
      </c>
      <c r="AQ106" s="45" t="s">
        <v>49</v>
      </c>
      <c r="AV106" s="44">
        <f>AW106+AX106</f>
        <v>0</v>
      </c>
      <c r="AW106" s="44">
        <f>J106*AO106</f>
        <v>0</v>
      </c>
      <c r="AX106" s="44">
        <f>J106*AP106</f>
        <v>0</v>
      </c>
      <c r="AY106" s="45" t="s">
        <v>344</v>
      </c>
      <c r="AZ106" s="45" t="s">
        <v>332</v>
      </c>
      <c r="BA106" s="24" t="s">
        <v>56</v>
      </c>
      <c r="BC106" s="44">
        <f>AW106+AX106</f>
        <v>0</v>
      </c>
      <c r="BD106" s="44">
        <f>K106/(100-BE106)*100</f>
        <v>0</v>
      </c>
      <c r="BE106" s="44">
        <v>0</v>
      </c>
      <c r="BF106" s="44">
        <f>106</f>
        <v>106</v>
      </c>
      <c r="BH106" s="44">
        <f>J106*AO106</f>
        <v>0</v>
      </c>
      <c r="BI106" s="44">
        <f>J106*AP106</f>
        <v>0</v>
      </c>
      <c r="BJ106" s="44">
        <f>J106*K106</f>
        <v>0</v>
      </c>
      <c r="BK106" s="44" t="s">
        <v>57</v>
      </c>
      <c r="BL106" s="44">
        <v>95</v>
      </c>
    </row>
    <row r="107" spans="1:47" ht="19.5" customHeight="1">
      <c r="A107" s="46"/>
      <c r="B107" s="47" t="s">
        <v>348</v>
      </c>
      <c r="C107" s="47" t="s">
        <v>349</v>
      </c>
      <c r="D107" s="47"/>
      <c r="E107" s="47"/>
      <c r="F107" s="47"/>
      <c r="G107" s="47"/>
      <c r="H107" s="47"/>
      <c r="I107" s="48" t="s">
        <v>4</v>
      </c>
      <c r="J107" s="48" t="s">
        <v>4</v>
      </c>
      <c r="K107" s="48" t="s">
        <v>4</v>
      </c>
      <c r="L107" s="49">
        <f>SUM(L108:L108)</f>
        <v>0</v>
      </c>
      <c r="M107" s="50"/>
      <c r="N107" s="8"/>
      <c r="AI107" s="24"/>
      <c r="AS107" s="37">
        <f>SUM(AJ108:AJ108)</f>
        <v>0</v>
      </c>
      <c r="AT107" s="37">
        <f>SUM(AK108:AK108)</f>
        <v>0</v>
      </c>
      <c r="AU107" s="37">
        <f>SUM(AL108:AL108)</f>
        <v>0</v>
      </c>
    </row>
    <row r="108" spans="1:64" ht="19.5" customHeight="1">
      <c r="A108" s="38" t="s">
        <v>350</v>
      </c>
      <c r="B108" s="39" t="s">
        <v>351</v>
      </c>
      <c r="C108" s="39" t="s">
        <v>352</v>
      </c>
      <c r="D108" s="39"/>
      <c r="E108" s="39"/>
      <c r="F108" s="39"/>
      <c r="G108" s="39"/>
      <c r="H108" s="39"/>
      <c r="I108" s="39" t="s">
        <v>52</v>
      </c>
      <c r="J108" s="42">
        <v>7.488</v>
      </c>
      <c r="K108" s="41">
        <v>0</v>
      </c>
      <c r="L108" s="42">
        <f>J108*K108</f>
        <v>0</v>
      </c>
      <c r="M108" s="43" t="s">
        <v>53</v>
      </c>
      <c r="N108" s="8"/>
      <c r="Z108" s="44">
        <f>IF(AQ108="5",BJ108,0)</f>
        <v>0</v>
      </c>
      <c r="AB108" s="44">
        <f>IF(AQ108="1",BH108,0)</f>
        <v>0</v>
      </c>
      <c r="AC108" s="44">
        <f>IF(AQ108="1",BI108,0)</f>
        <v>0</v>
      </c>
      <c r="AD108" s="44">
        <f>IF(AQ108="7",BH108,0)</f>
        <v>0</v>
      </c>
      <c r="AE108" s="44">
        <f>IF(AQ108="7",BI108,0)</f>
        <v>0</v>
      </c>
      <c r="AF108" s="44">
        <f>IF(AQ108="2",BH108,0)</f>
        <v>0</v>
      </c>
      <c r="AG108" s="44">
        <f>IF(AQ108="2",BI108,0)</f>
        <v>0</v>
      </c>
      <c r="AH108" s="44">
        <f>IF(AQ108="0",BJ108,0)</f>
        <v>0</v>
      </c>
      <c r="AI108" s="24"/>
      <c r="AJ108" s="44">
        <f>IF(AN108=0,L108,0)</f>
        <v>0</v>
      </c>
      <c r="AK108" s="44">
        <f>IF(AN108=15,L108,0)</f>
        <v>0</v>
      </c>
      <c r="AL108" s="44">
        <f>IF(AN108=21,L108,0)</f>
        <v>0</v>
      </c>
      <c r="AN108" s="44">
        <v>21</v>
      </c>
      <c r="AO108" s="44">
        <f>K108*0</f>
        <v>0</v>
      </c>
      <c r="AP108" s="44">
        <f>K108*(1-0)</f>
        <v>0</v>
      </c>
      <c r="AQ108" s="45" t="s">
        <v>49</v>
      </c>
      <c r="AV108" s="44">
        <f>AW108+AX108</f>
        <v>0</v>
      </c>
      <c r="AW108" s="44">
        <f>J108*AO108</f>
        <v>0</v>
      </c>
      <c r="AX108" s="44">
        <f>J108*AP108</f>
        <v>0</v>
      </c>
      <c r="AY108" s="45" t="s">
        <v>353</v>
      </c>
      <c r="AZ108" s="45" t="s">
        <v>332</v>
      </c>
      <c r="BA108" s="24" t="s">
        <v>56</v>
      </c>
      <c r="BB108" s="24" t="s">
        <v>354</v>
      </c>
      <c r="BC108" s="44">
        <f>AW108+AX108</f>
        <v>0</v>
      </c>
      <c r="BD108" s="44">
        <f>K108/(100-BE108)*100</f>
        <v>0</v>
      </c>
      <c r="BE108" s="44">
        <v>0</v>
      </c>
      <c r="BF108" s="44">
        <f>108</f>
        <v>108</v>
      </c>
      <c r="BH108" s="44">
        <f>J108*AO108</f>
        <v>0</v>
      </c>
      <c r="BI108" s="44">
        <f>J108*AP108</f>
        <v>0</v>
      </c>
      <c r="BJ108" s="44">
        <f>J108*K108</f>
        <v>0</v>
      </c>
      <c r="BK108" s="44" t="s">
        <v>57</v>
      </c>
      <c r="BL108" s="44">
        <v>96</v>
      </c>
    </row>
    <row r="109" spans="1:47" ht="19.5" customHeight="1">
      <c r="A109" s="46"/>
      <c r="B109" s="47" t="s">
        <v>355</v>
      </c>
      <c r="C109" s="47" t="s">
        <v>356</v>
      </c>
      <c r="D109" s="47"/>
      <c r="E109" s="47"/>
      <c r="F109" s="47"/>
      <c r="G109" s="47"/>
      <c r="H109" s="47"/>
      <c r="I109" s="48" t="s">
        <v>4</v>
      </c>
      <c r="J109" s="48" t="s">
        <v>4</v>
      </c>
      <c r="K109" s="48" t="s">
        <v>4</v>
      </c>
      <c r="L109" s="49">
        <f>SUM(L110:L113)</f>
        <v>0</v>
      </c>
      <c r="M109" s="50"/>
      <c r="N109" s="8"/>
      <c r="AI109" s="24"/>
      <c r="AS109" s="37">
        <f>SUM(AJ110:AJ113)</f>
        <v>0</v>
      </c>
      <c r="AT109" s="37">
        <f>SUM(AK110:AK113)</f>
        <v>0</v>
      </c>
      <c r="AU109" s="37">
        <f>SUM(AL110:AL113)</f>
        <v>0</v>
      </c>
    </row>
    <row r="110" spans="1:64" ht="19.5" customHeight="1">
      <c r="A110" s="38" t="s">
        <v>357</v>
      </c>
      <c r="B110" s="39" t="s">
        <v>358</v>
      </c>
      <c r="C110" s="39" t="s">
        <v>359</v>
      </c>
      <c r="D110" s="39"/>
      <c r="E110" s="39"/>
      <c r="F110" s="39"/>
      <c r="G110" s="39"/>
      <c r="H110" s="39"/>
      <c r="I110" s="39" t="s">
        <v>158</v>
      </c>
      <c r="J110" s="42">
        <v>72</v>
      </c>
      <c r="K110" s="41">
        <v>0</v>
      </c>
      <c r="L110" s="42">
        <f>J110*K110</f>
        <v>0</v>
      </c>
      <c r="M110" s="43" t="s">
        <v>53</v>
      </c>
      <c r="N110" s="8"/>
      <c r="Z110" s="44">
        <f>IF(AQ110="5",BJ110,0)</f>
        <v>0</v>
      </c>
      <c r="AB110" s="44">
        <f>IF(AQ110="1",BH110,0)</f>
        <v>0</v>
      </c>
      <c r="AC110" s="44">
        <f>IF(AQ110="1",BI110,0)</f>
        <v>0</v>
      </c>
      <c r="AD110" s="44">
        <f>IF(AQ110="7",BH110,0)</f>
        <v>0</v>
      </c>
      <c r="AE110" s="44">
        <f>IF(AQ110="7",BI110,0)</f>
        <v>0</v>
      </c>
      <c r="AF110" s="44">
        <f>IF(AQ110="2",BH110,0)</f>
        <v>0</v>
      </c>
      <c r="AG110" s="44">
        <f>IF(AQ110="2",BI110,0)</f>
        <v>0</v>
      </c>
      <c r="AH110" s="44">
        <f>IF(AQ110="0",BJ110,0)</f>
        <v>0</v>
      </c>
      <c r="AI110" s="24"/>
      <c r="AJ110" s="44">
        <f>IF(AN110=0,L110,0)</f>
        <v>0</v>
      </c>
      <c r="AK110" s="44">
        <f>IF(AN110=15,L110,0)</f>
        <v>0</v>
      </c>
      <c r="AL110" s="44">
        <f>IF(AN110=21,L110,0)</f>
        <v>0</v>
      </c>
      <c r="AN110" s="44">
        <v>21</v>
      </c>
      <c r="AO110" s="44">
        <f>K110*0.156196428571429</f>
        <v>0</v>
      </c>
      <c r="AP110" s="44">
        <f>K110*(1-0.156196428571429)</f>
        <v>0</v>
      </c>
      <c r="AQ110" s="45" t="s">
        <v>49</v>
      </c>
      <c r="AV110" s="44">
        <f>AW110+AX110</f>
        <v>0</v>
      </c>
      <c r="AW110" s="44">
        <f>J110*AO110</f>
        <v>0</v>
      </c>
      <c r="AX110" s="44">
        <f>J110*AP110</f>
        <v>0</v>
      </c>
      <c r="AY110" s="45" t="s">
        <v>360</v>
      </c>
      <c r="AZ110" s="45" t="s">
        <v>332</v>
      </c>
      <c r="BA110" s="24" t="s">
        <v>56</v>
      </c>
      <c r="BC110" s="44">
        <f>AW110+AX110</f>
        <v>0</v>
      </c>
      <c r="BD110" s="44">
        <f>K110/(100-BE110)*100</f>
        <v>0</v>
      </c>
      <c r="BE110" s="44">
        <v>0</v>
      </c>
      <c r="BF110" s="44">
        <f>110</f>
        <v>110</v>
      </c>
      <c r="BH110" s="44">
        <f>J110*AO110</f>
        <v>0</v>
      </c>
      <c r="BI110" s="44">
        <f>J110*AP110</f>
        <v>0</v>
      </c>
      <c r="BJ110" s="44">
        <f>J110*K110</f>
        <v>0</v>
      </c>
      <c r="BK110" s="44" t="s">
        <v>57</v>
      </c>
      <c r="BL110" s="44">
        <v>97</v>
      </c>
    </row>
    <row r="111" spans="1:64" ht="19.5" customHeight="1">
      <c r="A111" s="38" t="s">
        <v>361</v>
      </c>
      <c r="B111" s="39" t="s">
        <v>362</v>
      </c>
      <c r="C111" s="39" t="s">
        <v>363</v>
      </c>
      <c r="D111" s="39"/>
      <c r="E111" s="39"/>
      <c r="F111" s="39"/>
      <c r="G111" s="39"/>
      <c r="H111" s="39"/>
      <c r="I111" s="39" t="s">
        <v>170</v>
      </c>
      <c r="J111" s="42">
        <v>14</v>
      </c>
      <c r="K111" s="41">
        <v>0</v>
      </c>
      <c r="L111" s="42">
        <f>J111*K111</f>
        <v>0</v>
      </c>
      <c r="M111" s="43" t="s">
        <v>53</v>
      </c>
      <c r="N111" s="8"/>
      <c r="Z111" s="44">
        <f>IF(AQ111="5",BJ111,0)</f>
        <v>0</v>
      </c>
      <c r="AB111" s="44">
        <f>IF(AQ111="1",BH111,0)</f>
        <v>0</v>
      </c>
      <c r="AC111" s="44">
        <f>IF(AQ111="1",BI111,0)</f>
        <v>0</v>
      </c>
      <c r="AD111" s="44">
        <f>IF(AQ111="7",BH111,0)</f>
        <v>0</v>
      </c>
      <c r="AE111" s="44">
        <f>IF(AQ111="7",BI111,0)</f>
        <v>0</v>
      </c>
      <c r="AF111" s="44">
        <f>IF(AQ111="2",BH111,0)</f>
        <v>0</v>
      </c>
      <c r="AG111" s="44">
        <f>IF(AQ111="2",BI111,0)</f>
        <v>0</v>
      </c>
      <c r="AH111" s="44">
        <f>IF(AQ111="0",BJ111,0)</f>
        <v>0</v>
      </c>
      <c r="AI111" s="24"/>
      <c r="AJ111" s="44">
        <f>IF(AN111=0,L111,0)</f>
        <v>0</v>
      </c>
      <c r="AK111" s="44">
        <f>IF(AN111=15,L111,0)</f>
        <v>0</v>
      </c>
      <c r="AL111" s="44">
        <f>IF(AN111=21,L111,0)</f>
        <v>0</v>
      </c>
      <c r="AN111" s="44">
        <v>21</v>
      </c>
      <c r="AO111" s="44">
        <f>K111*0.014199535962877</f>
        <v>0</v>
      </c>
      <c r="AP111" s="44">
        <f>K111*(1-0.014199535962877)</f>
        <v>0</v>
      </c>
      <c r="AQ111" s="45" t="s">
        <v>49</v>
      </c>
      <c r="AV111" s="44">
        <f>AW111+AX111</f>
        <v>0</v>
      </c>
      <c r="AW111" s="44">
        <f>J111*AO111</f>
        <v>0</v>
      </c>
      <c r="AX111" s="44">
        <f>J111*AP111</f>
        <v>0</v>
      </c>
      <c r="AY111" s="45" t="s">
        <v>360</v>
      </c>
      <c r="AZ111" s="45" t="s">
        <v>332</v>
      </c>
      <c r="BA111" s="24" t="s">
        <v>56</v>
      </c>
      <c r="BC111" s="44">
        <f>AW111+AX111</f>
        <v>0</v>
      </c>
      <c r="BD111" s="44">
        <f>K111/(100-BE111)*100</f>
        <v>0</v>
      </c>
      <c r="BE111" s="44">
        <v>0</v>
      </c>
      <c r="BF111" s="44">
        <f>111</f>
        <v>111</v>
      </c>
      <c r="BH111" s="44">
        <f>J111*AO111</f>
        <v>0</v>
      </c>
      <c r="BI111" s="44">
        <f>J111*AP111</f>
        <v>0</v>
      </c>
      <c r="BJ111" s="44">
        <f>J111*K111</f>
        <v>0</v>
      </c>
      <c r="BK111" s="44" t="s">
        <v>57</v>
      </c>
      <c r="BL111" s="44">
        <v>97</v>
      </c>
    </row>
    <row r="112" spans="1:64" ht="19.5" customHeight="1">
      <c r="A112" s="38" t="s">
        <v>364</v>
      </c>
      <c r="B112" s="39" t="s">
        <v>365</v>
      </c>
      <c r="C112" s="39" t="s">
        <v>366</v>
      </c>
      <c r="D112" s="39"/>
      <c r="E112" s="39"/>
      <c r="F112" s="39"/>
      <c r="G112" s="39"/>
      <c r="H112" s="39"/>
      <c r="I112" s="39" t="s">
        <v>158</v>
      </c>
      <c r="J112" s="42">
        <v>27</v>
      </c>
      <c r="K112" s="41">
        <v>0</v>
      </c>
      <c r="L112" s="42">
        <f>J112*K112</f>
        <v>0</v>
      </c>
      <c r="M112" s="43" t="s">
        <v>53</v>
      </c>
      <c r="N112" s="8"/>
      <c r="Z112" s="44">
        <f>IF(AQ112="5",BJ112,0)</f>
        <v>0</v>
      </c>
      <c r="AB112" s="44">
        <f>IF(AQ112="1",BH112,0)</f>
        <v>0</v>
      </c>
      <c r="AC112" s="44">
        <f>IF(AQ112="1",BI112,0)</f>
        <v>0</v>
      </c>
      <c r="AD112" s="44">
        <f>IF(AQ112="7",BH112,0)</f>
        <v>0</v>
      </c>
      <c r="AE112" s="44">
        <f>IF(AQ112="7",BI112,0)</f>
        <v>0</v>
      </c>
      <c r="AF112" s="44">
        <f>IF(AQ112="2",BH112,0)</f>
        <v>0</v>
      </c>
      <c r="AG112" s="44">
        <f>IF(AQ112="2",BI112,0)</f>
        <v>0</v>
      </c>
      <c r="AH112" s="44">
        <f>IF(AQ112="0",BJ112,0)</f>
        <v>0</v>
      </c>
      <c r="AI112" s="24"/>
      <c r="AJ112" s="44">
        <f>IF(AN112=0,L112,0)</f>
        <v>0</v>
      </c>
      <c r="AK112" s="44">
        <f>IF(AN112=15,L112,0)</f>
        <v>0</v>
      </c>
      <c r="AL112" s="44">
        <f>IF(AN112=21,L112,0)</f>
        <v>0</v>
      </c>
      <c r="AN112" s="44">
        <v>21</v>
      </c>
      <c r="AO112" s="44">
        <f>K112*0.0470833333333333</f>
        <v>0</v>
      </c>
      <c r="AP112" s="44">
        <f>K112*(1-0.0470833333333333)</f>
        <v>0</v>
      </c>
      <c r="AQ112" s="45" t="s">
        <v>49</v>
      </c>
      <c r="AV112" s="44">
        <f>AW112+AX112</f>
        <v>0</v>
      </c>
      <c r="AW112" s="44">
        <f>J112*AO112</f>
        <v>0</v>
      </c>
      <c r="AX112" s="44">
        <f>J112*AP112</f>
        <v>0</v>
      </c>
      <c r="AY112" s="45" t="s">
        <v>360</v>
      </c>
      <c r="AZ112" s="45" t="s">
        <v>332</v>
      </c>
      <c r="BA112" s="24" t="s">
        <v>56</v>
      </c>
      <c r="BC112" s="44">
        <f>AW112+AX112</f>
        <v>0</v>
      </c>
      <c r="BD112" s="44">
        <f>K112/(100-BE112)*100</f>
        <v>0</v>
      </c>
      <c r="BE112" s="44">
        <v>0</v>
      </c>
      <c r="BF112" s="44">
        <f>112</f>
        <v>112</v>
      </c>
      <c r="BH112" s="44">
        <f>J112*AO112</f>
        <v>0</v>
      </c>
      <c r="BI112" s="44">
        <f>J112*AP112</f>
        <v>0</v>
      </c>
      <c r="BJ112" s="44">
        <f>J112*K112</f>
        <v>0</v>
      </c>
      <c r="BK112" s="44" t="s">
        <v>57</v>
      </c>
      <c r="BL112" s="44">
        <v>97</v>
      </c>
    </row>
    <row r="113" spans="1:64" ht="19.5" customHeight="1">
      <c r="A113" s="38" t="s">
        <v>367</v>
      </c>
      <c r="B113" s="39" t="s">
        <v>368</v>
      </c>
      <c r="C113" s="39" t="s">
        <v>369</v>
      </c>
      <c r="D113" s="39"/>
      <c r="E113" s="39"/>
      <c r="F113" s="39"/>
      <c r="G113" s="39"/>
      <c r="H113" s="39"/>
      <c r="I113" s="39" t="s">
        <v>78</v>
      </c>
      <c r="J113" s="42">
        <v>24</v>
      </c>
      <c r="K113" s="41">
        <v>0</v>
      </c>
      <c r="L113" s="42">
        <f>J113*K113</f>
        <v>0</v>
      </c>
      <c r="M113" s="43" t="s">
        <v>53</v>
      </c>
      <c r="N113" s="8"/>
      <c r="Z113" s="44">
        <f>IF(AQ113="5",BJ113,0)</f>
        <v>0</v>
      </c>
      <c r="AB113" s="44">
        <f>IF(AQ113="1",BH113,0)</f>
        <v>0</v>
      </c>
      <c r="AC113" s="44">
        <f>IF(AQ113="1",BI113,0)</f>
        <v>0</v>
      </c>
      <c r="AD113" s="44">
        <f>IF(AQ113="7",BH113,0)</f>
        <v>0</v>
      </c>
      <c r="AE113" s="44">
        <f>IF(AQ113="7",BI113,0)</f>
        <v>0</v>
      </c>
      <c r="AF113" s="44">
        <f>IF(AQ113="2",BH113,0)</f>
        <v>0</v>
      </c>
      <c r="AG113" s="44">
        <f>IF(AQ113="2",BI113,0)</f>
        <v>0</v>
      </c>
      <c r="AH113" s="44">
        <f>IF(AQ113="0",BJ113,0)</f>
        <v>0</v>
      </c>
      <c r="AI113" s="24"/>
      <c r="AJ113" s="44">
        <f>IF(AN113=0,L113,0)</f>
        <v>0</v>
      </c>
      <c r="AK113" s="44">
        <f>IF(AN113=15,L113,0)</f>
        <v>0</v>
      </c>
      <c r="AL113" s="44">
        <f>IF(AN113=21,L113,0)</f>
        <v>0</v>
      </c>
      <c r="AN113" s="44">
        <v>21</v>
      </c>
      <c r="AO113" s="44">
        <f>K113*0</f>
        <v>0</v>
      </c>
      <c r="AP113" s="44">
        <f>K113*(1-0)</f>
        <v>0</v>
      </c>
      <c r="AQ113" s="45" t="s">
        <v>49</v>
      </c>
      <c r="AV113" s="44">
        <f>AW113+AX113</f>
        <v>0</v>
      </c>
      <c r="AW113" s="44">
        <f>J113*AO113</f>
        <v>0</v>
      </c>
      <c r="AX113" s="44">
        <f>J113*AP113</f>
        <v>0</v>
      </c>
      <c r="AY113" s="45" t="s">
        <v>360</v>
      </c>
      <c r="AZ113" s="45" t="s">
        <v>332</v>
      </c>
      <c r="BA113" s="24" t="s">
        <v>56</v>
      </c>
      <c r="BC113" s="44">
        <f>AW113+AX113</f>
        <v>0</v>
      </c>
      <c r="BD113" s="44">
        <f>K113/(100-BE113)*100</f>
        <v>0</v>
      </c>
      <c r="BE113" s="44">
        <v>0</v>
      </c>
      <c r="BF113" s="44">
        <f>113</f>
        <v>113</v>
      </c>
      <c r="BH113" s="44">
        <f>J113*AO113</f>
        <v>0</v>
      </c>
      <c r="BI113" s="44">
        <f>J113*AP113</f>
        <v>0</v>
      </c>
      <c r="BJ113" s="44">
        <f>J113*K113</f>
        <v>0</v>
      </c>
      <c r="BK113" s="44" t="s">
        <v>57</v>
      </c>
      <c r="BL113" s="44">
        <v>97</v>
      </c>
    </row>
    <row r="114" spans="1:47" ht="19.5" customHeight="1">
      <c r="A114" s="46"/>
      <c r="B114" s="47" t="s">
        <v>370</v>
      </c>
      <c r="C114" s="47" t="s">
        <v>371</v>
      </c>
      <c r="D114" s="47"/>
      <c r="E114" s="47"/>
      <c r="F114" s="47"/>
      <c r="G114" s="47"/>
      <c r="H114" s="47"/>
      <c r="I114" s="48" t="s">
        <v>4</v>
      </c>
      <c r="J114" s="48" t="s">
        <v>4</v>
      </c>
      <c r="K114" s="48" t="s">
        <v>4</v>
      </c>
      <c r="L114" s="49">
        <f>SUM(L115:L115)</f>
        <v>0</v>
      </c>
      <c r="M114" s="50"/>
      <c r="N114" s="8"/>
      <c r="AI114" s="24"/>
      <c r="AS114" s="37">
        <f>SUM(AJ115:AJ115)</f>
        <v>0</v>
      </c>
      <c r="AT114" s="37">
        <f>SUM(AK115:AK115)</f>
        <v>0</v>
      </c>
      <c r="AU114" s="37">
        <f>SUM(AL115:AL115)</f>
        <v>0</v>
      </c>
    </row>
    <row r="115" spans="1:64" ht="19.5" customHeight="1">
      <c r="A115" s="38" t="s">
        <v>372</v>
      </c>
      <c r="B115" s="39" t="s">
        <v>373</v>
      </c>
      <c r="C115" s="39" t="s">
        <v>374</v>
      </c>
      <c r="D115" s="39"/>
      <c r="E115" s="39"/>
      <c r="F115" s="39"/>
      <c r="G115" s="39"/>
      <c r="H115" s="39"/>
      <c r="I115" s="39" t="s">
        <v>99</v>
      </c>
      <c r="J115" s="42">
        <v>81</v>
      </c>
      <c r="K115" s="41">
        <v>0</v>
      </c>
      <c r="L115" s="42">
        <f>J115*K115</f>
        <v>0</v>
      </c>
      <c r="M115" s="43" t="s">
        <v>53</v>
      </c>
      <c r="N115" s="8"/>
      <c r="Z115" s="44">
        <f>IF(AQ115="5",BJ115,0)</f>
        <v>0</v>
      </c>
      <c r="AB115" s="44">
        <f>IF(AQ115="1",BH115,0)</f>
        <v>0</v>
      </c>
      <c r="AC115" s="44">
        <f>IF(AQ115="1",BI115,0)</f>
        <v>0</v>
      </c>
      <c r="AD115" s="44">
        <f>IF(AQ115="7",BH115,0)</f>
        <v>0</v>
      </c>
      <c r="AE115" s="44">
        <f>IF(AQ115="7",BI115,0)</f>
        <v>0</v>
      </c>
      <c r="AF115" s="44">
        <f>IF(AQ115="2",BH115,0)</f>
        <v>0</v>
      </c>
      <c r="AG115" s="44">
        <f>IF(AQ115="2",BI115,0)</f>
        <v>0</v>
      </c>
      <c r="AH115" s="44">
        <f>IF(AQ115="0",BJ115,0)</f>
        <v>0</v>
      </c>
      <c r="AI115" s="24"/>
      <c r="AJ115" s="44">
        <f>IF(AN115=0,L115,0)</f>
        <v>0</v>
      </c>
      <c r="AK115" s="44">
        <f>IF(AN115=15,L115,0)</f>
        <v>0</v>
      </c>
      <c r="AL115" s="44">
        <f>IF(AN115=21,L115,0)</f>
        <v>0</v>
      </c>
      <c r="AN115" s="44">
        <v>21</v>
      </c>
      <c r="AO115" s="44">
        <f>K115*0</f>
        <v>0</v>
      </c>
      <c r="AP115" s="44">
        <f>K115*(1-0)</f>
        <v>0</v>
      </c>
      <c r="AQ115" s="45" t="s">
        <v>70</v>
      </c>
      <c r="AV115" s="44">
        <f>AW115+AX115</f>
        <v>0</v>
      </c>
      <c r="AW115" s="44">
        <f>J115*AO115</f>
        <v>0</v>
      </c>
      <c r="AX115" s="44">
        <f>J115*AP115</f>
        <v>0</v>
      </c>
      <c r="AY115" s="45" t="s">
        <v>375</v>
      </c>
      <c r="AZ115" s="45" t="s">
        <v>332</v>
      </c>
      <c r="BA115" s="24" t="s">
        <v>56</v>
      </c>
      <c r="BC115" s="44">
        <f>AW115+AX115</f>
        <v>0</v>
      </c>
      <c r="BD115" s="44">
        <f>K115/(100-BE115)*100</f>
        <v>0</v>
      </c>
      <c r="BE115" s="44">
        <v>0</v>
      </c>
      <c r="BF115" s="44">
        <f>115</f>
        <v>115</v>
      </c>
      <c r="BH115" s="44">
        <f>J115*AO115</f>
        <v>0</v>
      </c>
      <c r="BI115" s="44">
        <f>J115*AP115</f>
        <v>0</v>
      </c>
      <c r="BJ115" s="44">
        <f>J115*K115</f>
        <v>0</v>
      </c>
      <c r="BK115" s="44" t="s">
        <v>57</v>
      </c>
      <c r="BL115" s="44" t="s">
        <v>370</v>
      </c>
    </row>
    <row r="116" spans="1:47" ht="19.5" customHeight="1">
      <c r="A116" s="46"/>
      <c r="B116" s="47" t="s">
        <v>376</v>
      </c>
      <c r="C116" s="47" t="s">
        <v>377</v>
      </c>
      <c r="D116" s="47"/>
      <c r="E116" s="47"/>
      <c r="F116" s="47"/>
      <c r="G116" s="47"/>
      <c r="H116" s="47"/>
      <c r="I116" s="48" t="s">
        <v>4</v>
      </c>
      <c r="J116" s="48" t="s">
        <v>4</v>
      </c>
      <c r="K116" s="48" t="s">
        <v>4</v>
      </c>
      <c r="L116" s="49">
        <f>SUM(L117:L118)</f>
        <v>0</v>
      </c>
      <c r="M116" s="50"/>
      <c r="N116" s="8"/>
      <c r="AI116" s="24"/>
      <c r="AS116" s="37">
        <f>SUM(AJ117:AJ118)</f>
        <v>0</v>
      </c>
      <c r="AT116" s="37">
        <f>SUM(AK117:AK118)</f>
        <v>0</v>
      </c>
      <c r="AU116" s="37">
        <f>SUM(AL117:AL118)</f>
        <v>0</v>
      </c>
    </row>
    <row r="117" spans="1:64" ht="19.5" customHeight="1">
      <c r="A117" s="38" t="s">
        <v>378</v>
      </c>
      <c r="B117" s="39" t="s">
        <v>379</v>
      </c>
      <c r="C117" s="39" t="s">
        <v>380</v>
      </c>
      <c r="D117" s="39"/>
      <c r="E117" s="39"/>
      <c r="F117" s="39"/>
      <c r="G117" s="39"/>
      <c r="H117" s="39"/>
      <c r="I117" s="39" t="s">
        <v>170</v>
      </c>
      <c r="J117" s="42">
        <v>1</v>
      </c>
      <c r="K117" s="41">
        <v>0</v>
      </c>
      <c r="L117" s="42">
        <f>J117*K117</f>
        <v>0</v>
      </c>
      <c r="M117" s="43" t="s">
        <v>53</v>
      </c>
      <c r="N117" s="8"/>
      <c r="Z117" s="44">
        <f>IF(AQ117="5",BJ117,0)</f>
        <v>0</v>
      </c>
      <c r="AB117" s="44">
        <f>IF(AQ117="1",BH117,0)</f>
        <v>0</v>
      </c>
      <c r="AC117" s="44">
        <f>IF(AQ117="1",BI117,0)</f>
        <v>0</v>
      </c>
      <c r="AD117" s="44">
        <f>IF(AQ117="7",BH117,0)</f>
        <v>0</v>
      </c>
      <c r="AE117" s="44">
        <f>IF(AQ117="7",BI117,0)</f>
        <v>0</v>
      </c>
      <c r="AF117" s="44">
        <f>IF(AQ117="2",BH117,0)</f>
        <v>0</v>
      </c>
      <c r="AG117" s="44">
        <f>IF(AQ117="2",BI117,0)</f>
        <v>0</v>
      </c>
      <c r="AH117" s="44">
        <f>IF(AQ117="0",BJ117,0)</f>
        <v>0</v>
      </c>
      <c r="AI117" s="24"/>
      <c r="AJ117" s="44">
        <f>IF(AN117=0,L117,0)</f>
        <v>0</v>
      </c>
      <c r="AK117" s="44">
        <f>IF(AN117=15,L117,0)</f>
        <v>0</v>
      </c>
      <c r="AL117" s="44">
        <f>IF(AN117=21,L117,0)</f>
        <v>0</v>
      </c>
      <c r="AN117" s="44">
        <v>21</v>
      </c>
      <c r="AO117" s="44">
        <f>K117*0.0028735632183908</f>
        <v>0</v>
      </c>
      <c r="AP117" s="44">
        <f>K117*(1-0.0028735632183908)</f>
        <v>0</v>
      </c>
      <c r="AQ117" s="45" t="s">
        <v>60</v>
      </c>
      <c r="AV117" s="44">
        <f>AW117+AX117</f>
        <v>0</v>
      </c>
      <c r="AW117" s="44">
        <f>J117*AO117</f>
        <v>0</v>
      </c>
      <c r="AX117" s="44">
        <f>J117*AP117</f>
        <v>0</v>
      </c>
      <c r="AY117" s="45" t="s">
        <v>381</v>
      </c>
      <c r="AZ117" s="45" t="s">
        <v>332</v>
      </c>
      <c r="BA117" s="24" t="s">
        <v>56</v>
      </c>
      <c r="BC117" s="44">
        <f>AW117+AX117</f>
        <v>0</v>
      </c>
      <c r="BD117" s="44">
        <f>K117/(100-BE117)*100</f>
        <v>0</v>
      </c>
      <c r="BE117" s="44">
        <v>0</v>
      </c>
      <c r="BF117" s="44">
        <f>117</f>
        <v>117</v>
      </c>
      <c r="BH117" s="44">
        <f>J117*AO117</f>
        <v>0</v>
      </c>
      <c r="BI117" s="44">
        <f>J117*AP117</f>
        <v>0</v>
      </c>
      <c r="BJ117" s="44">
        <f>J117*K117</f>
        <v>0</v>
      </c>
      <c r="BK117" s="44" t="s">
        <v>57</v>
      </c>
      <c r="BL117" s="44" t="s">
        <v>376</v>
      </c>
    </row>
    <row r="118" spans="1:64" ht="19.5" customHeight="1">
      <c r="A118" s="38" t="s">
        <v>382</v>
      </c>
      <c r="B118" s="39" t="s">
        <v>383</v>
      </c>
      <c r="C118" s="39" t="s">
        <v>384</v>
      </c>
      <c r="D118" s="39"/>
      <c r="E118" s="39"/>
      <c r="F118" s="39"/>
      <c r="G118" s="39"/>
      <c r="H118" s="39"/>
      <c r="I118" s="39" t="s">
        <v>158</v>
      </c>
      <c r="J118" s="42">
        <v>30</v>
      </c>
      <c r="K118" s="41">
        <v>0</v>
      </c>
      <c r="L118" s="42">
        <f>J118*K118</f>
        <v>0</v>
      </c>
      <c r="M118" s="43" t="s">
        <v>53</v>
      </c>
      <c r="N118" s="8"/>
      <c r="Z118" s="44">
        <f>IF(AQ118="5",BJ118,0)</f>
        <v>0</v>
      </c>
      <c r="AB118" s="44">
        <f>IF(AQ118="1",BH118,0)</f>
        <v>0</v>
      </c>
      <c r="AC118" s="44">
        <f>IF(AQ118="1",BI118,0)</f>
        <v>0</v>
      </c>
      <c r="AD118" s="44">
        <f>IF(AQ118="7",BH118,0)</f>
        <v>0</v>
      </c>
      <c r="AE118" s="44">
        <f>IF(AQ118="7",BI118,0)</f>
        <v>0</v>
      </c>
      <c r="AF118" s="44">
        <f>IF(AQ118="2",BH118,0)</f>
        <v>0</v>
      </c>
      <c r="AG118" s="44">
        <f>IF(AQ118="2",BI118,0)</f>
        <v>0</v>
      </c>
      <c r="AH118" s="44">
        <f>IF(AQ118="0",BJ118,0)</f>
        <v>0</v>
      </c>
      <c r="AI118" s="24"/>
      <c r="AJ118" s="44">
        <f>IF(AN118=0,L118,0)</f>
        <v>0</v>
      </c>
      <c r="AK118" s="44">
        <f>IF(AN118=15,L118,0)</f>
        <v>0</v>
      </c>
      <c r="AL118" s="44">
        <f>IF(AN118=21,L118,0)</f>
        <v>0</v>
      </c>
      <c r="AN118" s="44">
        <v>21</v>
      </c>
      <c r="AO118" s="44">
        <f>K118*0.111111111111111</f>
        <v>0</v>
      </c>
      <c r="AP118" s="44">
        <f>K118*(1-0.111111111111111)</f>
        <v>0</v>
      </c>
      <c r="AQ118" s="45" t="s">
        <v>60</v>
      </c>
      <c r="AV118" s="44">
        <f>AW118+AX118</f>
        <v>0</v>
      </c>
      <c r="AW118" s="44">
        <f>J118*AO118</f>
        <v>0</v>
      </c>
      <c r="AX118" s="44">
        <f>J118*AP118</f>
        <v>0</v>
      </c>
      <c r="AY118" s="45" t="s">
        <v>381</v>
      </c>
      <c r="AZ118" s="45" t="s">
        <v>332</v>
      </c>
      <c r="BA118" s="24" t="s">
        <v>56</v>
      </c>
      <c r="BC118" s="44">
        <f>AW118+AX118</f>
        <v>0</v>
      </c>
      <c r="BD118" s="44">
        <f>K118/(100-BE118)*100</f>
        <v>0</v>
      </c>
      <c r="BE118" s="44">
        <v>0</v>
      </c>
      <c r="BF118" s="44">
        <f>118</f>
        <v>118</v>
      </c>
      <c r="BH118" s="44">
        <f>J118*AO118</f>
        <v>0</v>
      </c>
      <c r="BI118" s="44">
        <f>J118*AP118</f>
        <v>0</v>
      </c>
      <c r="BJ118" s="44">
        <f>J118*K118</f>
        <v>0</v>
      </c>
      <c r="BK118" s="44" t="s">
        <v>57</v>
      </c>
      <c r="BL118" s="44" t="s">
        <v>376</v>
      </c>
    </row>
    <row r="119" spans="1:47" ht="19.5" customHeight="1">
      <c r="A119" s="46"/>
      <c r="B119" s="47" t="s">
        <v>385</v>
      </c>
      <c r="C119" s="47" t="s">
        <v>386</v>
      </c>
      <c r="D119" s="47"/>
      <c r="E119" s="47"/>
      <c r="F119" s="47"/>
      <c r="G119" s="47"/>
      <c r="H119" s="47"/>
      <c r="I119" s="48" t="s">
        <v>4</v>
      </c>
      <c r="J119" s="48" t="s">
        <v>4</v>
      </c>
      <c r="K119" s="48" t="s">
        <v>4</v>
      </c>
      <c r="L119" s="49">
        <f>SUM(L120:L126)</f>
        <v>0</v>
      </c>
      <c r="M119" s="50"/>
      <c r="N119" s="8"/>
      <c r="AI119" s="24"/>
      <c r="AS119" s="37">
        <f>SUM(AJ120:AJ126)</f>
        <v>0</v>
      </c>
      <c r="AT119" s="37">
        <f>SUM(AK120:AK126)</f>
        <v>0</v>
      </c>
      <c r="AU119" s="37">
        <f>SUM(AL120:AL126)</f>
        <v>0</v>
      </c>
    </row>
    <row r="120" spans="1:64" ht="19.5" customHeight="1">
      <c r="A120" s="38" t="s">
        <v>387</v>
      </c>
      <c r="B120" s="39" t="s">
        <v>388</v>
      </c>
      <c r="C120" s="39" t="s">
        <v>389</v>
      </c>
      <c r="D120" s="39"/>
      <c r="E120" s="39"/>
      <c r="F120" s="39"/>
      <c r="G120" s="39"/>
      <c r="H120" s="39"/>
      <c r="I120" s="39" t="s">
        <v>99</v>
      </c>
      <c r="J120" s="42">
        <v>26</v>
      </c>
      <c r="K120" s="41">
        <v>0</v>
      </c>
      <c r="L120" s="42">
        <f aca="true" t="shared" si="60" ref="L120:L126">J120*K120</f>
        <v>0</v>
      </c>
      <c r="M120" s="43" t="s">
        <v>53</v>
      </c>
      <c r="N120" s="8"/>
      <c r="Z120" s="44">
        <f aca="true" t="shared" si="61" ref="Z120:Z126">IF(AQ120="5",BJ120,0)</f>
        <v>0</v>
      </c>
      <c r="AB120" s="44">
        <f aca="true" t="shared" si="62" ref="AB120:AB126">IF(AQ120="1",BH120,0)</f>
        <v>0</v>
      </c>
      <c r="AC120" s="44">
        <f aca="true" t="shared" si="63" ref="AC120:AC126">IF(AQ120="1",BI120,0)</f>
        <v>0</v>
      </c>
      <c r="AD120" s="44">
        <f aca="true" t="shared" si="64" ref="AD120:AD126">IF(AQ120="7",BH120,0)</f>
        <v>0</v>
      </c>
      <c r="AE120" s="44">
        <f aca="true" t="shared" si="65" ref="AE120:AE126">IF(AQ120="7",BI120,0)</f>
        <v>0</v>
      </c>
      <c r="AF120" s="44">
        <f aca="true" t="shared" si="66" ref="AF120:AF126">IF(AQ120="2",BH120,0)</f>
        <v>0</v>
      </c>
      <c r="AG120" s="44">
        <f aca="true" t="shared" si="67" ref="AG120:AG126">IF(AQ120="2",BI120,0)</f>
        <v>0</v>
      </c>
      <c r="AH120" s="44">
        <f aca="true" t="shared" si="68" ref="AH120:AH126">IF(AQ120="0",BJ120,0)</f>
        <v>0</v>
      </c>
      <c r="AI120" s="24"/>
      <c r="AJ120" s="44">
        <f aca="true" t="shared" si="69" ref="AJ120:AJ126">IF(AN120=0,L120,0)</f>
        <v>0</v>
      </c>
      <c r="AK120" s="44">
        <f aca="true" t="shared" si="70" ref="AK120:AK126">IF(AN120=15,L120,0)</f>
        <v>0</v>
      </c>
      <c r="AL120" s="44">
        <f aca="true" t="shared" si="71" ref="AL120:AL126">IF(AN120=21,L120,0)</f>
        <v>0</v>
      </c>
      <c r="AN120" s="44">
        <v>21</v>
      </c>
      <c r="AO120" s="44">
        <f aca="true" t="shared" si="72" ref="AO120:AO126">K120*0</f>
        <v>0</v>
      </c>
      <c r="AP120" s="44">
        <f aca="true" t="shared" si="73" ref="AP120:AP126">K120*(1-0)</f>
        <v>0</v>
      </c>
      <c r="AQ120" s="45" t="s">
        <v>70</v>
      </c>
      <c r="AV120" s="44">
        <f aca="true" t="shared" si="74" ref="AV120:AV126">AW120+AX120</f>
        <v>0</v>
      </c>
      <c r="AW120" s="44">
        <f aca="true" t="shared" si="75" ref="AW120:AW126">J120*AO120</f>
        <v>0</v>
      </c>
      <c r="AX120" s="44">
        <f aca="true" t="shared" si="76" ref="AX120:AX126">J120*AP120</f>
        <v>0</v>
      </c>
      <c r="AY120" s="45" t="s">
        <v>390</v>
      </c>
      <c r="AZ120" s="45" t="s">
        <v>332</v>
      </c>
      <c r="BA120" s="24" t="s">
        <v>56</v>
      </c>
      <c r="BC120" s="44">
        <f aca="true" t="shared" si="77" ref="BC120:BC126">AW120+AX120</f>
        <v>0</v>
      </c>
      <c r="BD120" s="44">
        <f aca="true" t="shared" si="78" ref="BD120:BD126">K120/(100-BE120)*100</f>
        <v>0</v>
      </c>
      <c r="BE120" s="44">
        <v>0</v>
      </c>
      <c r="BF120" s="44">
        <f>120</f>
        <v>120</v>
      </c>
      <c r="BH120" s="44">
        <f aca="true" t="shared" si="79" ref="BH120:BH126">J120*AO120</f>
        <v>0</v>
      </c>
      <c r="BI120" s="44">
        <f aca="true" t="shared" si="80" ref="BI120:BI126">J120*AP120</f>
        <v>0</v>
      </c>
      <c r="BJ120" s="44">
        <f aca="true" t="shared" si="81" ref="BJ120:BJ126">J120*K120</f>
        <v>0</v>
      </c>
      <c r="BK120" s="44" t="s">
        <v>57</v>
      </c>
      <c r="BL120" s="44" t="s">
        <v>385</v>
      </c>
    </row>
    <row r="121" spans="1:64" ht="19.5" customHeight="1">
      <c r="A121" s="38" t="s">
        <v>391</v>
      </c>
      <c r="B121" s="39" t="s">
        <v>392</v>
      </c>
      <c r="C121" s="39" t="s">
        <v>393</v>
      </c>
      <c r="D121" s="39"/>
      <c r="E121" s="39"/>
      <c r="F121" s="39"/>
      <c r="G121" s="39"/>
      <c r="H121" s="39"/>
      <c r="I121" s="39" t="s">
        <v>99</v>
      </c>
      <c r="J121" s="42">
        <v>78</v>
      </c>
      <c r="K121" s="41">
        <v>0</v>
      </c>
      <c r="L121" s="42">
        <f t="shared" si="60"/>
        <v>0</v>
      </c>
      <c r="M121" s="43" t="s">
        <v>53</v>
      </c>
      <c r="N121" s="8"/>
      <c r="Z121" s="44">
        <f t="shared" si="61"/>
        <v>0</v>
      </c>
      <c r="AB121" s="44">
        <f t="shared" si="62"/>
        <v>0</v>
      </c>
      <c r="AC121" s="44">
        <f t="shared" si="63"/>
        <v>0</v>
      </c>
      <c r="AD121" s="44">
        <f t="shared" si="64"/>
        <v>0</v>
      </c>
      <c r="AE121" s="44">
        <f t="shared" si="65"/>
        <v>0</v>
      </c>
      <c r="AF121" s="44">
        <f t="shared" si="66"/>
        <v>0</v>
      </c>
      <c r="AG121" s="44">
        <f t="shared" si="67"/>
        <v>0</v>
      </c>
      <c r="AH121" s="44">
        <f t="shared" si="68"/>
        <v>0</v>
      </c>
      <c r="AI121" s="24"/>
      <c r="AJ121" s="44">
        <f t="shared" si="69"/>
        <v>0</v>
      </c>
      <c r="AK121" s="44">
        <f t="shared" si="70"/>
        <v>0</v>
      </c>
      <c r="AL121" s="44">
        <f t="shared" si="71"/>
        <v>0</v>
      </c>
      <c r="AN121" s="44">
        <v>21</v>
      </c>
      <c r="AO121" s="44">
        <f t="shared" si="72"/>
        <v>0</v>
      </c>
      <c r="AP121" s="44">
        <f t="shared" si="73"/>
        <v>0</v>
      </c>
      <c r="AQ121" s="45" t="s">
        <v>70</v>
      </c>
      <c r="AV121" s="44">
        <f t="shared" si="74"/>
        <v>0</v>
      </c>
      <c r="AW121" s="44">
        <f t="shared" si="75"/>
        <v>0</v>
      </c>
      <c r="AX121" s="44">
        <f t="shared" si="76"/>
        <v>0</v>
      </c>
      <c r="AY121" s="45" t="s">
        <v>390</v>
      </c>
      <c r="AZ121" s="45" t="s">
        <v>332</v>
      </c>
      <c r="BA121" s="24" t="s">
        <v>56</v>
      </c>
      <c r="BC121" s="44">
        <f t="shared" si="77"/>
        <v>0</v>
      </c>
      <c r="BD121" s="44">
        <f t="shared" si="78"/>
        <v>0</v>
      </c>
      <c r="BE121" s="44">
        <v>0</v>
      </c>
      <c r="BF121" s="44">
        <f>121</f>
        <v>121</v>
      </c>
      <c r="BH121" s="44">
        <f t="shared" si="79"/>
        <v>0</v>
      </c>
      <c r="BI121" s="44">
        <f t="shared" si="80"/>
        <v>0</v>
      </c>
      <c r="BJ121" s="44">
        <f t="shared" si="81"/>
        <v>0</v>
      </c>
      <c r="BK121" s="44" t="s">
        <v>57</v>
      </c>
      <c r="BL121" s="44" t="s">
        <v>385</v>
      </c>
    </row>
    <row r="122" spans="1:64" ht="19.5" customHeight="1">
      <c r="A122" s="38" t="s">
        <v>394</v>
      </c>
      <c r="B122" s="39" t="s">
        <v>395</v>
      </c>
      <c r="C122" s="39" t="s">
        <v>396</v>
      </c>
      <c r="D122" s="39"/>
      <c r="E122" s="39"/>
      <c r="F122" s="39"/>
      <c r="G122" s="39"/>
      <c r="H122" s="39"/>
      <c r="I122" s="39" t="s">
        <v>99</v>
      </c>
      <c r="J122" s="42">
        <v>26</v>
      </c>
      <c r="K122" s="41">
        <v>0</v>
      </c>
      <c r="L122" s="42">
        <f t="shared" si="60"/>
        <v>0</v>
      </c>
      <c r="M122" s="43" t="s">
        <v>53</v>
      </c>
      <c r="N122" s="8"/>
      <c r="Z122" s="44">
        <f t="shared" si="61"/>
        <v>0</v>
      </c>
      <c r="AB122" s="44">
        <f t="shared" si="62"/>
        <v>0</v>
      </c>
      <c r="AC122" s="44">
        <f t="shared" si="63"/>
        <v>0</v>
      </c>
      <c r="AD122" s="44">
        <f t="shared" si="64"/>
        <v>0</v>
      </c>
      <c r="AE122" s="44">
        <f t="shared" si="65"/>
        <v>0</v>
      </c>
      <c r="AF122" s="44">
        <f t="shared" si="66"/>
        <v>0</v>
      </c>
      <c r="AG122" s="44">
        <f t="shared" si="67"/>
        <v>0</v>
      </c>
      <c r="AH122" s="44">
        <f t="shared" si="68"/>
        <v>0</v>
      </c>
      <c r="AI122" s="24"/>
      <c r="AJ122" s="44">
        <f t="shared" si="69"/>
        <v>0</v>
      </c>
      <c r="AK122" s="44">
        <f t="shared" si="70"/>
        <v>0</v>
      </c>
      <c r="AL122" s="44">
        <f t="shared" si="71"/>
        <v>0</v>
      </c>
      <c r="AN122" s="44">
        <v>21</v>
      </c>
      <c r="AO122" s="44">
        <f t="shared" si="72"/>
        <v>0</v>
      </c>
      <c r="AP122" s="44">
        <f t="shared" si="73"/>
        <v>0</v>
      </c>
      <c r="AQ122" s="45" t="s">
        <v>70</v>
      </c>
      <c r="AV122" s="44">
        <f t="shared" si="74"/>
        <v>0</v>
      </c>
      <c r="AW122" s="44">
        <f t="shared" si="75"/>
        <v>0</v>
      </c>
      <c r="AX122" s="44">
        <f t="shared" si="76"/>
        <v>0</v>
      </c>
      <c r="AY122" s="45" t="s">
        <v>390</v>
      </c>
      <c r="AZ122" s="45" t="s">
        <v>332</v>
      </c>
      <c r="BA122" s="24" t="s">
        <v>56</v>
      </c>
      <c r="BC122" s="44">
        <f t="shared" si="77"/>
        <v>0</v>
      </c>
      <c r="BD122" s="44">
        <f t="shared" si="78"/>
        <v>0</v>
      </c>
      <c r="BE122" s="44">
        <v>0</v>
      </c>
      <c r="BF122" s="44">
        <f>122</f>
        <v>122</v>
      </c>
      <c r="BH122" s="44">
        <f t="shared" si="79"/>
        <v>0</v>
      </c>
      <c r="BI122" s="44">
        <f t="shared" si="80"/>
        <v>0</v>
      </c>
      <c r="BJ122" s="44">
        <f t="shared" si="81"/>
        <v>0</v>
      </c>
      <c r="BK122" s="44" t="s">
        <v>57</v>
      </c>
      <c r="BL122" s="44" t="s">
        <v>385</v>
      </c>
    </row>
    <row r="123" spans="1:64" ht="19.5" customHeight="1">
      <c r="A123" s="38" t="s">
        <v>397</v>
      </c>
      <c r="B123" s="39" t="s">
        <v>398</v>
      </c>
      <c r="C123" s="39" t="s">
        <v>399</v>
      </c>
      <c r="D123" s="39"/>
      <c r="E123" s="39"/>
      <c r="F123" s="39"/>
      <c r="G123" s="39"/>
      <c r="H123" s="39"/>
      <c r="I123" s="39" t="s">
        <v>99</v>
      </c>
      <c r="J123" s="42">
        <v>650</v>
      </c>
      <c r="K123" s="41">
        <v>0</v>
      </c>
      <c r="L123" s="42">
        <f t="shared" si="60"/>
        <v>0</v>
      </c>
      <c r="M123" s="43" t="s">
        <v>53</v>
      </c>
      <c r="N123" s="8"/>
      <c r="Z123" s="44">
        <f t="shared" si="61"/>
        <v>0</v>
      </c>
      <c r="AB123" s="44">
        <f t="shared" si="62"/>
        <v>0</v>
      </c>
      <c r="AC123" s="44">
        <f t="shared" si="63"/>
        <v>0</v>
      </c>
      <c r="AD123" s="44">
        <f t="shared" si="64"/>
        <v>0</v>
      </c>
      <c r="AE123" s="44">
        <f t="shared" si="65"/>
        <v>0</v>
      </c>
      <c r="AF123" s="44">
        <f t="shared" si="66"/>
        <v>0</v>
      </c>
      <c r="AG123" s="44">
        <f t="shared" si="67"/>
        <v>0</v>
      </c>
      <c r="AH123" s="44">
        <f t="shared" si="68"/>
        <v>0</v>
      </c>
      <c r="AI123" s="24"/>
      <c r="AJ123" s="44">
        <f t="shared" si="69"/>
        <v>0</v>
      </c>
      <c r="AK123" s="44">
        <f t="shared" si="70"/>
        <v>0</v>
      </c>
      <c r="AL123" s="44">
        <f t="shared" si="71"/>
        <v>0</v>
      </c>
      <c r="AN123" s="44">
        <v>21</v>
      </c>
      <c r="AO123" s="44">
        <f t="shared" si="72"/>
        <v>0</v>
      </c>
      <c r="AP123" s="44">
        <f t="shared" si="73"/>
        <v>0</v>
      </c>
      <c r="AQ123" s="45" t="s">
        <v>70</v>
      </c>
      <c r="AV123" s="44">
        <f t="shared" si="74"/>
        <v>0</v>
      </c>
      <c r="AW123" s="44">
        <f t="shared" si="75"/>
        <v>0</v>
      </c>
      <c r="AX123" s="44">
        <f t="shared" si="76"/>
        <v>0</v>
      </c>
      <c r="AY123" s="45" t="s">
        <v>390</v>
      </c>
      <c r="AZ123" s="45" t="s">
        <v>332</v>
      </c>
      <c r="BA123" s="24" t="s">
        <v>56</v>
      </c>
      <c r="BC123" s="44">
        <f t="shared" si="77"/>
        <v>0</v>
      </c>
      <c r="BD123" s="44">
        <f t="shared" si="78"/>
        <v>0</v>
      </c>
      <c r="BE123" s="44">
        <v>0</v>
      </c>
      <c r="BF123" s="44">
        <f>123</f>
        <v>123</v>
      </c>
      <c r="BH123" s="44">
        <f t="shared" si="79"/>
        <v>0</v>
      </c>
      <c r="BI123" s="44">
        <f t="shared" si="80"/>
        <v>0</v>
      </c>
      <c r="BJ123" s="44">
        <f t="shared" si="81"/>
        <v>0</v>
      </c>
      <c r="BK123" s="44" t="s">
        <v>57</v>
      </c>
      <c r="BL123" s="44" t="s">
        <v>385</v>
      </c>
    </row>
    <row r="124" spans="1:64" ht="19.5" customHeight="1">
      <c r="A124" s="38" t="s">
        <v>400</v>
      </c>
      <c r="B124" s="39" t="s">
        <v>401</v>
      </c>
      <c r="C124" s="39" t="s">
        <v>402</v>
      </c>
      <c r="D124" s="39"/>
      <c r="E124" s="39"/>
      <c r="F124" s="39"/>
      <c r="G124" s="39"/>
      <c r="H124" s="39"/>
      <c r="I124" s="39" t="s">
        <v>99</v>
      </c>
      <c r="J124" s="42">
        <v>26</v>
      </c>
      <c r="K124" s="41">
        <v>0</v>
      </c>
      <c r="L124" s="42">
        <f t="shared" si="60"/>
        <v>0</v>
      </c>
      <c r="M124" s="43" t="s">
        <v>53</v>
      </c>
      <c r="N124" s="8"/>
      <c r="Z124" s="44">
        <f t="shared" si="61"/>
        <v>0</v>
      </c>
      <c r="AB124" s="44">
        <f t="shared" si="62"/>
        <v>0</v>
      </c>
      <c r="AC124" s="44">
        <f t="shared" si="63"/>
        <v>0</v>
      </c>
      <c r="AD124" s="44">
        <f t="shared" si="64"/>
        <v>0</v>
      </c>
      <c r="AE124" s="44">
        <f t="shared" si="65"/>
        <v>0</v>
      </c>
      <c r="AF124" s="44">
        <f t="shared" si="66"/>
        <v>0</v>
      </c>
      <c r="AG124" s="44">
        <f t="shared" si="67"/>
        <v>0</v>
      </c>
      <c r="AH124" s="44">
        <f t="shared" si="68"/>
        <v>0</v>
      </c>
      <c r="AI124" s="24"/>
      <c r="AJ124" s="44">
        <f t="shared" si="69"/>
        <v>0</v>
      </c>
      <c r="AK124" s="44">
        <f t="shared" si="70"/>
        <v>0</v>
      </c>
      <c r="AL124" s="44">
        <f t="shared" si="71"/>
        <v>0</v>
      </c>
      <c r="AN124" s="44">
        <v>21</v>
      </c>
      <c r="AO124" s="44">
        <f t="shared" si="72"/>
        <v>0</v>
      </c>
      <c r="AP124" s="44">
        <f t="shared" si="73"/>
        <v>0</v>
      </c>
      <c r="AQ124" s="45" t="s">
        <v>70</v>
      </c>
      <c r="AV124" s="44">
        <f t="shared" si="74"/>
        <v>0</v>
      </c>
      <c r="AW124" s="44">
        <f t="shared" si="75"/>
        <v>0</v>
      </c>
      <c r="AX124" s="44">
        <f t="shared" si="76"/>
        <v>0</v>
      </c>
      <c r="AY124" s="45" t="s">
        <v>390</v>
      </c>
      <c r="AZ124" s="45" t="s">
        <v>332</v>
      </c>
      <c r="BA124" s="24" t="s">
        <v>56</v>
      </c>
      <c r="BC124" s="44">
        <f t="shared" si="77"/>
        <v>0</v>
      </c>
      <c r="BD124" s="44">
        <f t="shared" si="78"/>
        <v>0</v>
      </c>
      <c r="BE124" s="44">
        <v>0</v>
      </c>
      <c r="BF124" s="44">
        <f>124</f>
        <v>124</v>
      </c>
      <c r="BH124" s="44">
        <f t="shared" si="79"/>
        <v>0</v>
      </c>
      <c r="BI124" s="44">
        <f t="shared" si="80"/>
        <v>0</v>
      </c>
      <c r="BJ124" s="44">
        <f t="shared" si="81"/>
        <v>0</v>
      </c>
      <c r="BK124" s="44" t="s">
        <v>57</v>
      </c>
      <c r="BL124" s="44" t="s">
        <v>385</v>
      </c>
    </row>
    <row r="125" spans="1:64" ht="19.5" customHeight="1">
      <c r="A125" s="38" t="s">
        <v>403</v>
      </c>
      <c r="B125" s="39" t="s">
        <v>404</v>
      </c>
      <c r="C125" s="39" t="s">
        <v>405</v>
      </c>
      <c r="D125" s="39"/>
      <c r="E125" s="39"/>
      <c r="F125" s="39"/>
      <c r="G125" s="39"/>
      <c r="H125" s="39"/>
      <c r="I125" s="39" t="s">
        <v>99</v>
      </c>
      <c r="J125" s="42">
        <v>26</v>
      </c>
      <c r="K125" s="41">
        <v>0</v>
      </c>
      <c r="L125" s="42">
        <f t="shared" si="60"/>
        <v>0</v>
      </c>
      <c r="M125" s="43" t="s">
        <v>53</v>
      </c>
      <c r="N125" s="8"/>
      <c r="Z125" s="44">
        <f t="shared" si="61"/>
        <v>0</v>
      </c>
      <c r="AB125" s="44">
        <f t="shared" si="62"/>
        <v>0</v>
      </c>
      <c r="AC125" s="44">
        <f t="shared" si="63"/>
        <v>0</v>
      </c>
      <c r="AD125" s="44">
        <f t="shared" si="64"/>
        <v>0</v>
      </c>
      <c r="AE125" s="44">
        <f t="shared" si="65"/>
        <v>0</v>
      </c>
      <c r="AF125" s="44">
        <f t="shared" si="66"/>
        <v>0</v>
      </c>
      <c r="AG125" s="44">
        <f t="shared" si="67"/>
        <v>0</v>
      </c>
      <c r="AH125" s="44">
        <f t="shared" si="68"/>
        <v>0</v>
      </c>
      <c r="AI125" s="24"/>
      <c r="AJ125" s="44">
        <f t="shared" si="69"/>
        <v>0</v>
      </c>
      <c r="AK125" s="44">
        <f t="shared" si="70"/>
        <v>0</v>
      </c>
      <c r="AL125" s="44">
        <f t="shared" si="71"/>
        <v>0</v>
      </c>
      <c r="AN125" s="44">
        <v>21</v>
      </c>
      <c r="AO125" s="44">
        <f t="shared" si="72"/>
        <v>0</v>
      </c>
      <c r="AP125" s="44">
        <f t="shared" si="73"/>
        <v>0</v>
      </c>
      <c r="AQ125" s="45" t="s">
        <v>70</v>
      </c>
      <c r="AV125" s="44">
        <f t="shared" si="74"/>
        <v>0</v>
      </c>
      <c r="AW125" s="44">
        <f t="shared" si="75"/>
        <v>0</v>
      </c>
      <c r="AX125" s="44">
        <f t="shared" si="76"/>
        <v>0</v>
      </c>
      <c r="AY125" s="45" t="s">
        <v>390</v>
      </c>
      <c r="AZ125" s="45" t="s">
        <v>332</v>
      </c>
      <c r="BA125" s="24" t="s">
        <v>56</v>
      </c>
      <c r="BC125" s="44">
        <f t="shared" si="77"/>
        <v>0</v>
      </c>
      <c r="BD125" s="44">
        <f t="shared" si="78"/>
        <v>0</v>
      </c>
      <c r="BE125" s="44">
        <v>0</v>
      </c>
      <c r="BF125" s="44">
        <f>125</f>
        <v>125</v>
      </c>
      <c r="BH125" s="44">
        <f t="shared" si="79"/>
        <v>0</v>
      </c>
      <c r="BI125" s="44">
        <f t="shared" si="80"/>
        <v>0</v>
      </c>
      <c r="BJ125" s="44">
        <f t="shared" si="81"/>
        <v>0</v>
      </c>
      <c r="BK125" s="44" t="s">
        <v>57</v>
      </c>
      <c r="BL125" s="44" t="s">
        <v>385</v>
      </c>
    </row>
    <row r="126" spans="1:64" ht="19.5" customHeight="1">
      <c r="A126" s="52" t="s">
        <v>406</v>
      </c>
      <c r="B126" s="53" t="s">
        <v>407</v>
      </c>
      <c r="C126" s="53" t="s">
        <v>408</v>
      </c>
      <c r="D126" s="53"/>
      <c r="E126" s="53"/>
      <c r="F126" s="53"/>
      <c r="G126" s="53"/>
      <c r="H126" s="53"/>
      <c r="I126" s="53" t="s">
        <v>99</v>
      </c>
      <c r="J126" s="54">
        <v>0.5</v>
      </c>
      <c r="K126" s="55">
        <v>0</v>
      </c>
      <c r="L126" s="54">
        <f t="shared" si="60"/>
        <v>0</v>
      </c>
      <c r="M126" s="56" t="s">
        <v>53</v>
      </c>
      <c r="N126" s="8"/>
      <c r="Z126" s="44">
        <f t="shared" si="61"/>
        <v>0</v>
      </c>
      <c r="AB126" s="44">
        <f t="shared" si="62"/>
        <v>0</v>
      </c>
      <c r="AC126" s="44">
        <f t="shared" si="63"/>
        <v>0</v>
      </c>
      <c r="AD126" s="44">
        <f t="shared" si="64"/>
        <v>0</v>
      </c>
      <c r="AE126" s="44">
        <f t="shared" si="65"/>
        <v>0</v>
      </c>
      <c r="AF126" s="44">
        <f t="shared" si="66"/>
        <v>0</v>
      </c>
      <c r="AG126" s="44">
        <f t="shared" si="67"/>
        <v>0</v>
      </c>
      <c r="AH126" s="44">
        <f t="shared" si="68"/>
        <v>0</v>
      </c>
      <c r="AI126" s="24"/>
      <c r="AJ126" s="44">
        <f t="shared" si="69"/>
        <v>0</v>
      </c>
      <c r="AK126" s="44">
        <f t="shared" si="70"/>
        <v>0</v>
      </c>
      <c r="AL126" s="44">
        <f t="shared" si="71"/>
        <v>0</v>
      </c>
      <c r="AN126" s="44">
        <v>21</v>
      </c>
      <c r="AO126" s="44">
        <f t="shared" si="72"/>
        <v>0</v>
      </c>
      <c r="AP126" s="44">
        <f t="shared" si="73"/>
        <v>0</v>
      </c>
      <c r="AQ126" s="45" t="s">
        <v>70</v>
      </c>
      <c r="AV126" s="44">
        <f t="shared" si="74"/>
        <v>0</v>
      </c>
      <c r="AW126" s="44">
        <f t="shared" si="75"/>
        <v>0</v>
      </c>
      <c r="AX126" s="44">
        <f t="shared" si="76"/>
        <v>0</v>
      </c>
      <c r="AY126" s="45" t="s">
        <v>390</v>
      </c>
      <c r="AZ126" s="45" t="s">
        <v>332</v>
      </c>
      <c r="BA126" s="24" t="s">
        <v>56</v>
      </c>
      <c r="BC126" s="44">
        <f t="shared" si="77"/>
        <v>0</v>
      </c>
      <c r="BD126" s="44">
        <f t="shared" si="78"/>
        <v>0</v>
      </c>
      <c r="BE126" s="44">
        <v>0</v>
      </c>
      <c r="BF126" s="44">
        <f>126</f>
        <v>126</v>
      </c>
      <c r="BH126" s="44">
        <f t="shared" si="79"/>
        <v>0</v>
      </c>
      <c r="BI126" s="44">
        <f t="shared" si="80"/>
        <v>0</v>
      </c>
      <c r="BJ126" s="44">
        <f t="shared" si="81"/>
        <v>0</v>
      </c>
      <c r="BK126" s="44" t="s">
        <v>57</v>
      </c>
      <c r="BL126" s="44" t="s">
        <v>385</v>
      </c>
    </row>
    <row r="127" spans="1:13" ht="19.5" customHeight="1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9">
        <f>L12+L14+L19+L22+L27+L31+L35+L38+L40+L43+L45+L62+L64+L69+L76+L83+L85+L91+L97+L100+L102+L104+L107+L109+L114+L116+L119</f>
        <v>0</v>
      </c>
      <c r="M127" s="60"/>
    </row>
    <row r="128" spans="1:13" ht="11.25" customHeight="1">
      <c r="A128" s="61" t="s">
        <v>409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3"/>
    </row>
    <row r="129" spans="1:13" ht="13.5" customHeight="1">
      <c r="A129" s="64" t="s">
        <v>410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</sheetData>
  <sheetProtection sheet="1"/>
  <mergeCells count="143">
    <mergeCell ref="A1:M1"/>
    <mergeCell ref="A2:B3"/>
    <mergeCell ref="C2:D3"/>
    <mergeCell ref="E2:F3"/>
    <mergeCell ref="G2:G3"/>
    <mergeCell ref="H2:H3"/>
    <mergeCell ref="I2:M3"/>
    <mergeCell ref="A4:B5"/>
    <mergeCell ref="C4:D5"/>
    <mergeCell ref="E4:F5"/>
    <mergeCell ref="G4:G5"/>
    <mergeCell ref="H4:H5"/>
    <mergeCell ref="I4:M5"/>
    <mergeCell ref="A6:B7"/>
    <mergeCell ref="C6:D7"/>
    <mergeCell ref="E6:F7"/>
    <mergeCell ref="G6:G7"/>
    <mergeCell ref="H6:H7"/>
    <mergeCell ref="I6:M7"/>
    <mergeCell ref="A8:B9"/>
    <mergeCell ref="C8:D9"/>
    <mergeCell ref="E8:F9"/>
    <mergeCell ref="G8:G9"/>
    <mergeCell ref="H8:H9"/>
    <mergeCell ref="I8:M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C94:H94"/>
    <mergeCell ref="C95:H95"/>
    <mergeCell ref="C96:H96"/>
    <mergeCell ref="C97:H97"/>
    <mergeCell ref="C98:H98"/>
    <mergeCell ref="C99:H99"/>
    <mergeCell ref="C100:H100"/>
    <mergeCell ref="C101:H101"/>
    <mergeCell ref="C102:H102"/>
    <mergeCell ref="C103:H103"/>
    <mergeCell ref="C104:H104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C121:H121"/>
    <mergeCell ref="C122:H122"/>
    <mergeCell ref="C123:H123"/>
    <mergeCell ref="C124:H124"/>
    <mergeCell ref="C125:H125"/>
    <mergeCell ref="C126:H126"/>
    <mergeCell ref="A129:M129"/>
  </mergeCells>
  <printOptions/>
  <pageMargins left="0.39375" right="0.39375" top="0.5902777777777778" bottom="0.5902777777777778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ySplit="10" topLeftCell="A31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2" width="7.140625" style="1" customWidth="1"/>
    <col min="3" max="3" width="43.00390625" style="1" customWidth="1"/>
    <col min="4" max="4" width="16.140625" style="1" customWidth="1"/>
    <col min="5" max="6" width="11.57421875" style="1" customWidth="1"/>
    <col min="7" max="7" width="20.8515625" style="1" customWidth="1"/>
    <col min="8" max="9" width="0" style="1" hidden="1" customWidth="1"/>
    <col min="10" max="16384" width="11.57421875" style="1" customWidth="1"/>
  </cols>
  <sheetData>
    <row r="1" spans="1:7" ht="42.75" customHeight="1">
      <c r="A1" s="2" t="s">
        <v>411</v>
      </c>
      <c r="B1" s="2"/>
      <c r="C1" s="2"/>
      <c r="D1" s="2"/>
      <c r="E1" s="2"/>
      <c r="F1" s="2"/>
      <c r="G1" s="2"/>
    </row>
    <row r="2" spans="1:8" ht="12.75" customHeight="1">
      <c r="A2" s="3" t="s">
        <v>1</v>
      </c>
      <c r="B2" s="3"/>
      <c r="C2" s="4">
        <f>'Stavební rozpočet'!C2</f>
        <v>0</v>
      </c>
      <c r="D2" s="5" t="s">
        <v>3</v>
      </c>
      <c r="E2" s="5" t="s">
        <v>4</v>
      </c>
      <c r="F2" s="6" t="s">
        <v>5</v>
      </c>
      <c r="G2" s="7">
        <f>'Stavební rozpočet'!I2</f>
        <v>0</v>
      </c>
      <c r="H2" s="8"/>
    </row>
    <row r="3" spans="1:8" ht="12.75">
      <c r="A3" s="3"/>
      <c r="B3" s="3"/>
      <c r="C3" s="4"/>
      <c r="D3" s="5"/>
      <c r="E3" s="5"/>
      <c r="F3" s="5"/>
      <c r="G3" s="7"/>
      <c r="H3" s="8"/>
    </row>
    <row r="4" spans="1:8" ht="12.75" customHeight="1">
      <c r="A4" s="9" t="s">
        <v>7</v>
      </c>
      <c r="B4" s="9"/>
      <c r="C4" s="10">
        <f>'Stavební rozpočet'!C4</f>
        <v>0</v>
      </c>
      <c r="D4" s="11" t="s">
        <v>9</v>
      </c>
      <c r="E4" s="11" t="s">
        <v>4</v>
      </c>
      <c r="F4" s="10" t="s">
        <v>10</v>
      </c>
      <c r="G4" s="12">
        <f>'Stavební rozpočet'!I4</f>
        <v>0</v>
      </c>
      <c r="H4" s="8"/>
    </row>
    <row r="5" spans="1:8" ht="12.75">
      <c r="A5" s="9"/>
      <c r="B5" s="9"/>
      <c r="C5" s="10"/>
      <c r="D5" s="10"/>
      <c r="E5" s="10"/>
      <c r="F5" s="10"/>
      <c r="G5" s="12"/>
      <c r="H5" s="8"/>
    </row>
    <row r="6" spans="1:8" ht="12.75" customHeight="1">
      <c r="A6" s="9" t="s">
        <v>12</v>
      </c>
      <c r="B6" s="9"/>
      <c r="C6" s="10">
        <f>'Stavební rozpočet'!C6</f>
        <v>0</v>
      </c>
      <c r="D6" s="11" t="s">
        <v>14</v>
      </c>
      <c r="E6" s="11" t="s">
        <v>4</v>
      </c>
      <c r="F6" s="10" t="s">
        <v>15</v>
      </c>
      <c r="G6" s="12">
        <f>'Stavební rozpočet'!I6</f>
        <v>0</v>
      </c>
      <c r="H6" s="8"/>
    </row>
    <row r="7" spans="1:8" ht="12.75">
      <c r="A7" s="9"/>
      <c r="B7" s="9"/>
      <c r="C7" s="10"/>
      <c r="D7" s="10"/>
      <c r="E7" s="10"/>
      <c r="F7" s="10"/>
      <c r="G7" s="12"/>
      <c r="H7" s="8"/>
    </row>
    <row r="8" spans="1:8" ht="12.75" customHeight="1">
      <c r="A8" s="14" t="s">
        <v>20</v>
      </c>
      <c r="B8" s="14"/>
      <c r="C8" s="15">
        <f>'Stavební rozpočet'!I8</f>
        <v>0</v>
      </c>
      <c r="D8" s="65" t="s">
        <v>19</v>
      </c>
      <c r="E8" s="65" t="s">
        <v>412</v>
      </c>
      <c r="F8" s="65" t="s">
        <v>19</v>
      </c>
      <c r="G8" s="66">
        <f>'Stavební rozpočet'!G8</f>
        <v>0</v>
      </c>
      <c r="H8" s="8"/>
    </row>
    <row r="9" spans="1:8" ht="12.75">
      <c r="A9" s="14"/>
      <c r="B9" s="14"/>
      <c r="C9" s="15"/>
      <c r="D9" s="65"/>
      <c r="E9" s="65"/>
      <c r="F9" s="65"/>
      <c r="G9" s="66"/>
      <c r="H9" s="8"/>
    </row>
    <row r="10" spans="1:8" ht="12.75">
      <c r="A10" s="67" t="s">
        <v>413</v>
      </c>
      <c r="B10" s="68" t="s">
        <v>22</v>
      </c>
      <c r="C10" s="69" t="s">
        <v>23</v>
      </c>
      <c r="D10" s="70"/>
      <c r="E10" s="71"/>
      <c r="F10" s="72"/>
      <c r="G10" s="73" t="s">
        <v>414</v>
      </c>
      <c r="H10" s="8"/>
    </row>
    <row r="11" spans="1:9" ht="12.75">
      <c r="A11" s="74"/>
      <c r="B11" s="75" t="s">
        <v>47</v>
      </c>
      <c r="C11" s="75" t="s">
        <v>48</v>
      </c>
      <c r="D11" s="75"/>
      <c r="E11" s="75"/>
      <c r="F11" s="75"/>
      <c r="G11" s="76">
        <f>'Stavební rozpočet'!L12</f>
        <v>0</v>
      </c>
      <c r="H11" s="44" t="s">
        <v>415</v>
      </c>
      <c r="I11" s="44">
        <f aca="true" t="shared" si="0" ref="I11:I37">IF(H11="F",0,G11)</f>
        <v>0</v>
      </c>
    </row>
    <row r="12" spans="1:9" ht="12.75">
      <c r="A12" s="77"/>
      <c r="B12" s="11" t="s">
        <v>58</v>
      </c>
      <c r="C12" s="11" t="s">
        <v>59</v>
      </c>
      <c r="D12" s="11"/>
      <c r="E12" s="11"/>
      <c r="F12" s="11"/>
      <c r="G12" s="78">
        <f>'Stavební rozpočet'!L14</f>
        <v>0</v>
      </c>
      <c r="H12" s="44" t="s">
        <v>415</v>
      </c>
      <c r="I12" s="44">
        <f t="shared" si="0"/>
        <v>0</v>
      </c>
    </row>
    <row r="13" spans="1:9" ht="12.75">
      <c r="A13" s="77"/>
      <c r="B13" s="11" t="s">
        <v>73</v>
      </c>
      <c r="C13" s="11" t="s">
        <v>74</v>
      </c>
      <c r="D13" s="11"/>
      <c r="E13" s="11"/>
      <c r="F13" s="11"/>
      <c r="G13" s="78">
        <f>'Stavební rozpočet'!L19</f>
        <v>0</v>
      </c>
      <c r="H13" s="44" t="s">
        <v>415</v>
      </c>
      <c r="I13" s="44">
        <f t="shared" si="0"/>
        <v>0</v>
      </c>
    </row>
    <row r="14" spans="1:9" ht="12.75">
      <c r="A14" s="77"/>
      <c r="B14" s="11" t="s">
        <v>83</v>
      </c>
      <c r="C14" s="11" t="s">
        <v>84</v>
      </c>
      <c r="D14" s="11"/>
      <c r="E14" s="11"/>
      <c r="F14" s="11"/>
      <c r="G14" s="78">
        <f>'Stavební rozpočet'!L22</f>
        <v>0</v>
      </c>
      <c r="H14" s="44" t="s">
        <v>415</v>
      </c>
      <c r="I14" s="44">
        <f t="shared" si="0"/>
        <v>0</v>
      </c>
    </row>
    <row r="15" spans="1:9" ht="12.75">
      <c r="A15" s="77"/>
      <c r="B15" s="11" t="s">
        <v>100</v>
      </c>
      <c r="C15" s="11" t="s">
        <v>101</v>
      </c>
      <c r="D15" s="11"/>
      <c r="E15" s="11"/>
      <c r="F15" s="11"/>
      <c r="G15" s="78">
        <f>'Stavební rozpočet'!L27</f>
        <v>0</v>
      </c>
      <c r="H15" s="44" t="s">
        <v>415</v>
      </c>
      <c r="I15" s="44">
        <f t="shared" si="0"/>
        <v>0</v>
      </c>
    </row>
    <row r="16" spans="1:9" ht="12.75">
      <c r="A16" s="77"/>
      <c r="B16" s="11" t="s">
        <v>111</v>
      </c>
      <c r="C16" s="11" t="s">
        <v>112</v>
      </c>
      <c r="D16" s="11"/>
      <c r="E16" s="11"/>
      <c r="F16" s="11"/>
      <c r="G16" s="78">
        <f>'Stavební rozpočet'!L31</f>
        <v>0</v>
      </c>
      <c r="H16" s="44" t="s">
        <v>415</v>
      </c>
      <c r="I16" s="44">
        <f t="shared" si="0"/>
        <v>0</v>
      </c>
    </row>
    <row r="17" spans="1:9" ht="12.75">
      <c r="A17" s="77"/>
      <c r="B17" s="11" t="s">
        <v>120</v>
      </c>
      <c r="C17" s="11" t="s">
        <v>121</v>
      </c>
      <c r="D17" s="11"/>
      <c r="E17" s="11"/>
      <c r="F17" s="11"/>
      <c r="G17" s="78">
        <f>'Stavební rozpočet'!L35</f>
        <v>0</v>
      </c>
      <c r="H17" s="44" t="s">
        <v>415</v>
      </c>
      <c r="I17" s="44">
        <f t="shared" si="0"/>
        <v>0</v>
      </c>
    </row>
    <row r="18" spans="1:9" ht="12.75">
      <c r="A18" s="77"/>
      <c r="B18" s="11" t="s">
        <v>130</v>
      </c>
      <c r="C18" s="11" t="s">
        <v>131</v>
      </c>
      <c r="D18" s="11"/>
      <c r="E18" s="11"/>
      <c r="F18" s="11"/>
      <c r="G18" s="78">
        <f>'Stavební rozpočet'!L38</f>
        <v>0</v>
      </c>
      <c r="H18" s="44" t="s">
        <v>415</v>
      </c>
      <c r="I18" s="44">
        <f t="shared" si="0"/>
        <v>0</v>
      </c>
    </row>
    <row r="19" spans="1:9" ht="12.75">
      <c r="A19" s="77"/>
      <c r="B19" s="11" t="s">
        <v>137</v>
      </c>
      <c r="C19" s="11" t="s">
        <v>138</v>
      </c>
      <c r="D19" s="11"/>
      <c r="E19" s="11"/>
      <c r="F19" s="11"/>
      <c r="G19" s="78">
        <f>'Stavební rozpočet'!L40</f>
        <v>0</v>
      </c>
      <c r="H19" s="44" t="s">
        <v>415</v>
      </c>
      <c r="I19" s="44">
        <f t="shared" si="0"/>
        <v>0</v>
      </c>
    </row>
    <row r="20" spans="1:9" ht="12.75">
      <c r="A20" s="77"/>
      <c r="B20" s="11" t="s">
        <v>146</v>
      </c>
      <c r="C20" s="11" t="s">
        <v>147</v>
      </c>
      <c r="D20" s="11"/>
      <c r="E20" s="11"/>
      <c r="F20" s="11"/>
      <c r="G20" s="78">
        <f>'Stavební rozpočet'!L43</f>
        <v>0</v>
      </c>
      <c r="H20" s="44" t="s">
        <v>415</v>
      </c>
      <c r="I20" s="44">
        <f t="shared" si="0"/>
        <v>0</v>
      </c>
    </row>
    <row r="21" spans="1:9" ht="12.75">
      <c r="A21" s="77"/>
      <c r="B21" s="11" t="s">
        <v>153</v>
      </c>
      <c r="C21" s="11" t="s">
        <v>154</v>
      </c>
      <c r="D21" s="11"/>
      <c r="E21" s="11"/>
      <c r="F21" s="11"/>
      <c r="G21" s="78">
        <f>'Stavební rozpočet'!L45</f>
        <v>0</v>
      </c>
      <c r="H21" s="44" t="s">
        <v>415</v>
      </c>
      <c r="I21" s="44">
        <f t="shared" si="0"/>
        <v>0</v>
      </c>
    </row>
    <row r="22" spans="1:9" ht="12.75">
      <c r="A22" s="77"/>
      <c r="B22" s="11" t="s">
        <v>208</v>
      </c>
      <c r="C22" s="11" t="s">
        <v>209</v>
      </c>
      <c r="D22" s="11"/>
      <c r="E22" s="11"/>
      <c r="F22" s="11"/>
      <c r="G22" s="78">
        <f>'Stavební rozpočet'!L62</f>
        <v>0</v>
      </c>
      <c r="H22" s="44" t="s">
        <v>415</v>
      </c>
      <c r="I22" s="44">
        <f t="shared" si="0"/>
        <v>0</v>
      </c>
    </row>
    <row r="23" spans="1:9" ht="12.75">
      <c r="A23" s="77"/>
      <c r="B23" s="11" t="s">
        <v>215</v>
      </c>
      <c r="C23" s="11" t="s">
        <v>216</v>
      </c>
      <c r="D23" s="11"/>
      <c r="E23" s="11"/>
      <c r="F23" s="11"/>
      <c r="G23" s="78">
        <f>'Stavební rozpočet'!L64</f>
        <v>0</v>
      </c>
      <c r="H23" s="44" t="s">
        <v>415</v>
      </c>
      <c r="I23" s="44">
        <f t="shared" si="0"/>
        <v>0</v>
      </c>
    </row>
    <row r="24" spans="1:9" ht="12.75">
      <c r="A24" s="77"/>
      <c r="B24" s="11" t="s">
        <v>231</v>
      </c>
      <c r="C24" s="11" t="s">
        <v>232</v>
      </c>
      <c r="D24" s="11"/>
      <c r="E24" s="11"/>
      <c r="F24" s="11"/>
      <c r="G24" s="78">
        <f>'Stavební rozpočet'!L69</f>
        <v>0</v>
      </c>
      <c r="H24" s="44" t="s">
        <v>415</v>
      </c>
      <c r="I24" s="44">
        <f t="shared" si="0"/>
        <v>0</v>
      </c>
    </row>
    <row r="25" spans="1:9" ht="12.75">
      <c r="A25" s="77"/>
      <c r="B25" s="11" t="s">
        <v>254</v>
      </c>
      <c r="C25" s="11" t="s">
        <v>255</v>
      </c>
      <c r="D25" s="11"/>
      <c r="E25" s="11"/>
      <c r="F25" s="11"/>
      <c r="G25" s="78">
        <f>'Stavební rozpočet'!L76</f>
        <v>0</v>
      </c>
      <c r="H25" s="44" t="s">
        <v>415</v>
      </c>
      <c r="I25" s="44">
        <f t="shared" si="0"/>
        <v>0</v>
      </c>
    </row>
    <row r="26" spans="1:9" ht="12.75">
      <c r="A26" s="77"/>
      <c r="B26" s="11" t="s">
        <v>275</v>
      </c>
      <c r="C26" s="11" t="s">
        <v>276</v>
      </c>
      <c r="D26" s="11"/>
      <c r="E26" s="11"/>
      <c r="F26" s="11"/>
      <c r="G26" s="78">
        <f>'Stavební rozpočet'!L83</f>
        <v>0</v>
      </c>
      <c r="H26" s="44" t="s">
        <v>415</v>
      </c>
      <c r="I26" s="44">
        <f t="shared" si="0"/>
        <v>0</v>
      </c>
    </row>
    <row r="27" spans="1:9" ht="12.75">
      <c r="A27" s="77"/>
      <c r="B27" s="11" t="s">
        <v>281</v>
      </c>
      <c r="C27" s="11" t="s">
        <v>282</v>
      </c>
      <c r="D27" s="11"/>
      <c r="E27" s="11"/>
      <c r="F27" s="11"/>
      <c r="G27" s="78">
        <f>'Stavební rozpočet'!L85</f>
        <v>0</v>
      </c>
      <c r="H27" s="44" t="s">
        <v>415</v>
      </c>
      <c r="I27" s="44">
        <f t="shared" si="0"/>
        <v>0</v>
      </c>
    </row>
    <row r="28" spans="1:9" ht="12.75">
      <c r="A28" s="77"/>
      <c r="B28" s="11" t="s">
        <v>299</v>
      </c>
      <c r="C28" s="11" t="s">
        <v>300</v>
      </c>
      <c r="D28" s="11"/>
      <c r="E28" s="11"/>
      <c r="F28" s="11"/>
      <c r="G28" s="78">
        <f>'Stavební rozpočet'!L91</f>
        <v>0</v>
      </c>
      <c r="H28" s="44" t="s">
        <v>415</v>
      </c>
      <c r="I28" s="44">
        <f t="shared" si="0"/>
        <v>0</v>
      </c>
    </row>
    <row r="29" spans="1:9" ht="12.75">
      <c r="A29" s="77"/>
      <c r="B29" s="11" t="s">
        <v>316</v>
      </c>
      <c r="C29" s="11" t="s">
        <v>317</v>
      </c>
      <c r="D29" s="11"/>
      <c r="E29" s="11"/>
      <c r="F29" s="11"/>
      <c r="G29" s="78">
        <f>'Stavební rozpočet'!L97</f>
        <v>0</v>
      </c>
      <c r="H29" s="44" t="s">
        <v>415</v>
      </c>
      <c r="I29" s="44">
        <f t="shared" si="0"/>
        <v>0</v>
      </c>
    </row>
    <row r="30" spans="1:9" ht="12.75">
      <c r="A30" s="77"/>
      <c r="B30" s="11" t="s">
        <v>326</v>
      </c>
      <c r="C30" s="11" t="s">
        <v>327</v>
      </c>
      <c r="D30" s="11"/>
      <c r="E30" s="11"/>
      <c r="F30" s="11"/>
      <c r="G30" s="78">
        <f>'Stavební rozpočet'!L100</f>
        <v>0</v>
      </c>
      <c r="H30" s="44" t="s">
        <v>415</v>
      </c>
      <c r="I30" s="44">
        <f t="shared" si="0"/>
        <v>0</v>
      </c>
    </row>
    <row r="31" spans="1:9" ht="12.75">
      <c r="A31" s="77"/>
      <c r="B31" s="11" t="s">
        <v>333</v>
      </c>
      <c r="C31" s="11" t="s">
        <v>334</v>
      </c>
      <c r="D31" s="11"/>
      <c r="E31" s="11"/>
      <c r="F31" s="11"/>
      <c r="G31" s="78">
        <f>'Stavební rozpočet'!L102</f>
        <v>0</v>
      </c>
      <c r="H31" s="44" t="s">
        <v>415</v>
      </c>
      <c r="I31" s="44">
        <f t="shared" si="0"/>
        <v>0</v>
      </c>
    </row>
    <row r="32" spans="1:9" ht="12.75">
      <c r="A32" s="77"/>
      <c r="B32" s="11" t="s">
        <v>339</v>
      </c>
      <c r="C32" s="11" t="s">
        <v>340</v>
      </c>
      <c r="D32" s="11"/>
      <c r="E32" s="11"/>
      <c r="F32" s="11"/>
      <c r="G32" s="78">
        <f>'Stavební rozpočet'!L104</f>
        <v>0</v>
      </c>
      <c r="H32" s="44" t="s">
        <v>415</v>
      </c>
      <c r="I32" s="44">
        <f t="shared" si="0"/>
        <v>0</v>
      </c>
    </row>
    <row r="33" spans="1:9" ht="12.75">
      <c r="A33" s="77"/>
      <c r="B33" s="11" t="s">
        <v>348</v>
      </c>
      <c r="C33" s="11" t="s">
        <v>349</v>
      </c>
      <c r="D33" s="11"/>
      <c r="E33" s="11"/>
      <c r="F33" s="11"/>
      <c r="G33" s="78">
        <f>'Stavební rozpočet'!L107</f>
        <v>0</v>
      </c>
      <c r="H33" s="44" t="s">
        <v>415</v>
      </c>
      <c r="I33" s="44">
        <f t="shared" si="0"/>
        <v>0</v>
      </c>
    </row>
    <row r="34" spans="1:9" ht="12.75">
      <c r="A34" s="77"/>
      <c r="B34" s="11" t="s">
        <v>355</v>
      </c>
      <c r="C34" s="11" t="s">
        <v>356</v>
      </c>
      <c r="D34" s="11"/>
      <c r="E34" s="11"/>
      <c r="F34" s="11"/>
      <c r="G34" s="78">
        <f>'Stavební rozpočet'!L109</f>
        <v>0</v>
      </c>
      <c r="H34" s="44" t="s">
        <v>415</v>
      </c>
      <c r="I34" s="44">
        <f t="shared" si="0"/>
        <v>0</v>
      </c>
    </row>
    <row r="35" spans="1:9" ht="12.75">
      <c r="A35" s="77"/>
      <c r="B35" s="11" t="s">
        <v>370</v>
      </c>
      <c r="C35" s="11" t="s">
        <v>371</v>
      </c>
      <c r="D35" s="11"/>
      <c r="E35" s="11"/>
      <c r="F35" s="11"/>
      <c r="G35" s="78">
        <f>'Stavební rozpočet'!L114</f>
        <v>0</v>
      </c>
      <c r="H35" s="44" t="s">
        <v>415</v>
      </c>
      <c r="I35" s="44">
        <f t="shared" si="0"/>
        <v>0</v>
      </c>
    </row>
    <row r="36" spans="1:9" ht="12.75">
      <c r="A36" s="77"/>
      <c r="B36" s="11" t="s">
        <v>376</v>
      </c>
      <c r="C36" s="11" t="s">
        <v>377</v>
      </c>
      <c r="D36" s="11"/>
      <c r="E36" s="11"/>
      <c r="F36" s="11"/>
      <c r="G36" s="78">
        <f>'Stavební rozpočet'!L116</f>
        <v>0</v>
      </c>
      <c r="H36" s="44" t="s">
        <v>415</v>
      </c>
      <c r="I36" s="44">
        <f t="shared" si="0"/>
        <v>0</v>
      </c>
    </row>
    <row r="37" spans="1:9" ht="12.75">
      <c r="A37" s="77"/>
      <c r="B37" s="11" t="s">
        <v>385</v>
      </c>
      <c r="C37" s="11" t="s">
        <v>386</v>
      </c>
      <c r="D37" s="11"/>
      <c r="E37" s="11"/>
      <c r="F37" s="11"/>
      <c r="G37" s="78">
        <f>'Stavební rozpočet'!L119</f>
        <v>0</v>
      </c>
      <c r="H37" s="44" t="s">
        <v>415</v>
      </c>
      <c r="I37" s="44">
        <f t="shared" si="0"/>
        <v>0</v>
      </c>
    </row>
    <row r="38" spans="1:7" ht="12.75">
      <c r="A38" s="79"/>
      <c r="B38" s="80"/>
      <c r="C38" s="80"/>
      <c r="D38" s="80"/>
      <c r="E38" s="80"/>
      <c r="F38" s="81" t="s">
        <v>416</v>
      </c>
      <c r="G38" s="82">
        <f>SUM(I11:I37)</f>
        <v>0</v>
      </c>
    </row>
  </sheetData>
  <sheetProtection selectLockedCells="1" selectUnlockedCells="1"/>
  <mergeCells count="52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workbookViewId="0" topLeftCell="A1">
      <pane ySplit="10" topLeftCell="A17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9.140625" style="1" customWidth="1"/>
    <col min="2" max="2" width="3.28125" style="1" customWidth="1"/>
    <col min="3" max="3" width="12.7109375" style="1" customWidth="1"/>
    <col min="4" max="4" width="42.8515625" style="1" customWidth="1"/>
    <col min="5" max="5" width="22.421875" style="1" customWidth="1"/>
    <col min="6" max="6" width="5.8515625" style="1" customWidth="1"/>
    <col min="7" max="7" width="15.7109375" style="1" customWidth="1"/>
    <col min="8" max="8" width="18.140625" style="1" customWidth="1"/>
    <col min="9" max="16384" width="11.57421875" style="1" customWidth="1"/>
  </cols>
  <sheetData>
    <row r="1" spans="1:8" ht="72.75" customHeight="1">
      <c r="A1" s="83" t="s">
        <v>417</v>
      </c>
      <c r="B1" s="83"/>
      <c r="C1" s="83"/>
      <c r="D1" s="83"/>
      <c r="E1" s="83"/>
      <c r="F1" s="83"/>
      <c r="G1" s="83"/>
      <c r="H1" s="83"/>
    </row>
    <row r="2" spans="1:9" ht="12.75" customHeight="1">
      <c r="A2" s="84" t="s">
        <v>1</v>
      </c>
      <c r="B2" s="84"/>
      <c r="C2" s="4">
        <f>'Stavební rozpočet'!C2</f>
        <v>0</v>
      </c>
      <c r="D2" s="4"/>
      <c r="E2" s="6" t="s">
        <v>5</v>
      </c>
      <c r="F2" s="85">
        <f>'Stavební rozpočet'!I2</f>
        <v>0</v>
      </c>
      <c r="G2" s="85"/>
      <c r="H2" s="85"/>
      <c r="I2" s="86"/>
    </row>
    <row r="3" spans="1:9" ht="12.75">
      <c r="A3" s="84"/>
      <c r="B3" s="84"/>
      <c r="C3" s="4"/>
      <c r="D3" s="4"/>
      <c r="E3" s="6"/>
      <c r="F3" s="6"/>
      <c r="G3" s="85"/>
      <c r="H3" s="85"/>
      <c r="I3" s="86"/>
    </row>
    <row r="4" spans="1:9" ht="12.75" customHeight="1">
      <c r="A4" s="87" t="s">
        <v>7</v>
      </c>
      <c r="B4" s="87"/>
      <c r="C4" s="10">
        <f>'Stavební rozpočet'!C4</f>
        <v>0</v>
      </c>
      <c r="D4" s="10"/>
      <c r="E4" s="10" t="s">
        <v>10</v>
      </c>
      <c r="F4" s="88">
        <f>'Stavební rozpočet'!I4</f>
        <v>0</v>
      </c>
      <c r="G4" s="88"/>
      <c r="H4" s="88"/>
      <c r="I4" s="86"/>
    </row>
    <row r="5" spans="1:9" ht="12.75">
      <c r="A5" s="87"/>
      <c r="B5" s="87"/>
      <c r="C5" s="10"/>
      <c r="D5" s="10"/>
      <c r="E5" s="10"/>
      <c r="F5" s="10"/>
      <c r="G5" s="88"/>
      <c r="H5" s="88"/>
      <c r="I5" s="86"/>
    </row>
    <row r="6" spans="1:9" ht="12.75" customHeight="1">
      <c r="A6" s="87" t="s">
        <v>12</v>
      </c>
      <c r="B6" s="87"/>
      <c r="C6" s="10">
        <f>'Stavební rozpočet'!C6</f>
        <v>0</v>
      </c>
      <c r="D6" s="10"/>
      <c r="E6" s="10" t="s">
        <v>15</v>
      </c>
      <c r="F6" s="88">
        <f>'Stavební rozpočet'!I6</f>
        <v>0</v>
      </c>
      <c r="G6" s="88"/>
      <c r="H6" s="88"/>
      <c r="I6" s="86"/>
    </row>
    <row r="7" spans="1:9" ht="12.75">
      <c r="A7" s="87"/>
      <c r="B7" s="87"/>
      <c r="C7" s="10"/>
      <c r="D7" s="10"/>
      <c r="E7" s="10"/>
      <c r="F7" s="10"/>
      <c r="G7" s="88"/>
      <c r="H7" s="88"/>
      <c r="I7" s="86"/>
    </row>
    <row r="8" spans="1:9" ht="12.75" customHeight="1">
      <c r="A8" s="89" t="s">
        <v>20</v>
      </c>
      <c r="B8" s="89"/>
      <c r="C8" s="15">
        <f>'Stavební rozpočet'!I8</f>
        <v>0</v>
      </c>
      <c r="D8" s="15"/>
      <c r="E8" s="15" t="s">
        <v>19</v>
      </c>
      <c r="F8" s="90">
        <f>'Stavební rozpočet'!G8</f>
        <v>0</v>
      </c>
      <c r="G8" s="90"/>
      <c r="H8" s="90"/>
      <c r="I8" s="86"/>
    </row>
    <row r="9" spans="1:9" ht="12.75">
      <c r="A9" s="89"/>
      <c r="B9" s="89"/>
      <c r="C9" s="15"/>
      <c r="D9" s="15"/>
      <c r="E9" s="15"/>
      <c r="F9" s="15"/>
      <c r="G9" s="90"/>
      <c r="H9" s="90"/>
      <c r="I9" s="86"/>
    </row>
    <row r="10" spans="1:9" ht="12.75">
      <c r="A10" s="68" t="s">
        <v>21</v>
      </c>
      <c r="B10" s="69" t="s">
        <v>413</v>
      </c>
      <c r="C10" s="69" t="s">
        <v>22</v>
      </c>
      <c r="D10" s="69" t="s">
        <v>23</v>
      </c>
      <c r="E10" s="69"/>
      <c r="F10" s="69" t="s">
        <v>24</v>
      </c>
      <c r="G10" s="91" t="s">
        <v>25</v>
      </c>
      <c r="H10" s="92" t="s">
        <v>418</v>
      </c>
      <c r="I10" s="93"/>
    </row>
    <row r="11" spans="1:9" ht="12.75">
      <c r="A11" s="94" t="s">
        <v>49</v>
      </c>
      <c r="B11" s="75"/>
      <c r="C11" s="75" t="s">
        <v>50</v>
      </c>
      <c r="D11" s="75" t="s">
        <v>51</v>
      </c>
      <c r="E11" s="75"/>
      <c r="F11" s="75" t="s">
        <v>52</v>
      </c>
      <c r="G11" s="95">
        <v>10.24</v>
      </c>
      <c r="H11" s="96">
        <v>0</v>
      </c>
      <c r="I11" s="86"/>
    </row>
    <row r="12" spans="1:9" ht="12" customHeight="1">
      <c r="A12" s="86"/>
      <c r="D12" s="97" t="s">
        <v>419</v>
      </c>
      <c r="E12" s="97"/>
      <c r="F12" s="97"/>
      <c r="G12" s="98">
        <v>10.24</v>
      </c>
      <c r="H12" s="99"/>
      <c r="I12" s="86"/>
    </row>
    <row r="13" spans="1:9" ht="12.75">
      <c r="A13" s="100" t="s">
        <v>60</v>
      </c>
      <c r="B13" s="11"/>
      <c r="C13" s="11" t="s">
        <v>61</v>
      </c>
      <c r="D13" s="11" t="s">
        <v>62</v>
      </c>
      <c r="E13" s="11"/>
      <c r="F13" s="11" t="s">
        <v>52</v>
      </c>
      <c r="G13" s="44">
        <v>46.08</v>
      </c>
      <c r="H13" s="101">
        <v>0</v>
      </c>
      <c r="I13" s="86"/>
    </row>
    <row r="14" spans="1:9" ht="12" customHeight="1">
      <c r="A14" s="86"/>
      <c r="D14" s="97" t="s">
        <v>420</v>
      </c>
      <c r="E14" s="97"/>
      <c r="F14" s="97"/>
      <c r="G14" s="98">
        <v>46.08</v>
      </c>
      <c r="H14" s="99"/>
      <c r="I14" s="86"/>
    </row>
    <row r="15" spans="1:9" ht="12.75">
      <c r="A15" s="100" t="s">
        <v>64</v>
      </c>
      <c r="B15" s="11"/>
      <c r="C15" s="11" t="s">
        <v>65</v>
      </c>
      <c r="D15" s="11" t="s">
        <v>66</v>
      </c>
      <c r="E15" s="11"/>
      <c r="F15" s="11" t="s">
        <v>52</v>
      </c>
      <c r="G15" s="44">
        <v>46.08</v>
      </c>
      <c r="H15" s="101">
        <v>0</v>
      </c>
      <c r="I15" s="86"/>
    </row>
    <row r="16" spans="1:9" ht="12" customHeight="1">
      <c r="A16" s="86"/>
      <c r="D16" s="97" t="s">
        <v>421</v>
      </c>
      <c r="E16" s="97"/>
      <c r="F16" s="97"/>
      <c r="G16" s="98">
        <v>46.08</v>
      </c>
      <c r="H16" s="99"/>
      <c r="I16" s="86"/>
    </row>
    <row r="17" spans="1:9" ht="12.75">
      <c r="A17" s="100" t="s">
        <v>67</v>
      </c>
      <c r="B17" s="11"/>
      <c r="C17" s="11" t="s">
        <v>68</v>
      </c>
      <c r="D17" s="11" t="s">
        <v>69</v>
      </c>
      <c r="E17" s="11"/>
      <c r="F17" s="11" t="s">
        <v>52</v>
      </c>
      <c r="G17" s="44">
        <v>46.08</v>
      </c>
      <c r="H17" s="101">
        <v>0</v>
      </c>
      <c r="I17" s="86"/>
    </row>
    <row r="18" spans="1:9" ht="12" customHeight="1">
      <c r="A18" s="86"/>
      <c r="D18" s="97" t="s">
        <v>421</v>
      </c>
      <c r="E18" s="97"/>
      <c r="F18" s="97"/>
      <c r="G18" s="98">
        <v>46.08</v>
      </c>
      <c r="H18" s="99"/>
      <c r="I18" s="86"/>
    </row>
    <row r="19" spans="1:9" ht="12.75">
      <c r="A19" s="100" t="s">
        <v>70</v>
      </c>
      <c r="B19" s="11"/>
      <c r="C19" s="11" t="s">
        <v>71</v>
      </c>
      <c r="D19" s="11" t="s">
        <v>72</v>
      </c>
      <c r="E19" s="11"/>
      <c r="F19" s="11" t="s">
        <v>52</v>
      </c>
      <c r="G19" s="44">
        <v>92.16</v>
      </c>
      <c r="H19" s="101">
        <v>0</v>
      </c>
      <c r="I19" s="86"/>
    </row>
    <row r="20" spans="1:9" ht="12" customHeight="1">
      <c r="A20" s="86"/>
      <c r="D20" s="97" t="s">
        <v>422</v>
      </c>
      <c r="E20" s="97"/>
      <c r="F20" s="97"/>
      <c r="G20" s="98">
        <v>92.16</v>
      </c>
      <c r="H20" s="99"/>
      <c r="I20" s="86"/>
    </row>
    <row r="21" spans="1:9" ht="12.75">
      <c r="A21" s="100" t="s">
        <v>75</v>
      </c>
      <c r="B21" s="11"/>
      <c r="C21" s="11" t="s">
        <v>76</v>
      </c>
      <c r="D21" s="11" t="s">
        <v>77</v>
      </c>
      <c r="E21" s="11"/>
      <c r="F21" s="11" t="s">
        <v>78</v>
      </c>
      <c r="G21" s="44">
        <v>57.6</v>
      </c>
      <c r="H21" s="101">
        <v>0</v>
      </c>
      <c r="I21" s="86"/>
    </row>
    <row r="22" spans="1:9" ht="12" customHeight="1">
      <c r="A22" s="86"/>
      <c r="D22" s="97" t="s">
        <v>423</v>
      </c>
      <c r="E22" s="97"/>
      <c r="F22" s="97"/>
      <c r="G22" s="98">
        <v>57.6</v>
      </c>
      <c r="H22" s="99"/>
      <c r="I22" s="86"/>
    </row>
    <row r="23" spans="1:9" ht="12.75">
      <c r="A23" s="100" t="s">
        <v>80</v>
      </c>
      <c r="B23" s="11"/>
      <c r="C23" s="11" t="s">
        <v>81</v>
      </c>
      <c r="D23" s="11" t="s">
        <v>82</v>
      </c>
      <c r="E23" s="11"/>
      <c r="F23" s="11" t="s">
        <v>78</v>
      </c>
      <c r="G23" s="44">
        <v>57.6</v>
      </c>
      <c r="H23" s="101">
        <v>0</v>
      </c>
      <c r="I23" s="86"/>
    </row>
    <row r="24" spans="1:9" ht="12" customHeight="1">
      <c r="A24" s="86"/>
      <c r="D24" s="97" t="s">
        <v>423</v>
      </c>
      <c r="E24" s="97"/>
      <c r="F24" s="97"/>
      <c r="G24" s="98">
        <v>57.6</v>
      </c>
      <c r="H24" s="99"/>
      <c r="I24" s="86"/>
    </row>
    <row r="25" spans="1:9" ht="12.75">
      <c r="A25" s="100" t="s">
        <v>85</v>
      </c>
      <c r="B25" s="11"/>
      <c r="C25" s="11" t="s">
        <v>86</v>
      </c>
      <c r="D25" s="11" t="s">
        <v>87</v>
      </c>
      <c r="E25" s="11"/>
      <c r="F25" s="11" t="s">
        <v>52</v>
      </c>
      <c r="G25" s="44">
        <v>16.3</v>
      </c>
      <c r="H25" s="101">
        <v>0</v>
      </c>
      <c r="I25" s="86"/>
    </row>
    <row r="26" spans="1:9" ht="12" customHeight="1">
      <c r="A26" s="86"/>
      <c r="D26" s="97" t="s">
        <v>424</v>
      </c>
      <c r="E26" s="97"/>
      <c r="F26" s="97"/>
      <c r="G26" s="98">
        <v>16.3</v>
      </c>
      <c r="H26" s="99"/>
      <c r="I26" s="86"/>
    </row>
    <row r="27" spans="1:9" ht="12.75">
      <c r="A27" s="100" t="s">
        <v>89</v>
      </c>
      <c r="B27" s="11"/>
      <c r="C27" s="11" t="s">
        <v>90</v>
      </c>
      <c r="D27" s="11" t="s">
        <v>91</v>
      </c>
      <c r="E27" s="11"/>
      <c r="F27" s="11" t="s">
        <v>52</v>
      </c>
      <c r="G27" s="44">
        <v>16.3</v>
      </c>
      <c r="H27" s="101">
        <v>0</v>
      </c>
      <c r="I27" s="86"/>
    </row>
    <row r="28" spans="1:9" ht="12" customHeight="1">
      <c r="A28" s="86"/>
      <c r="D28" s="97" t="s">
        <v>424</v>
      </c>
      <c r="E28" s="97"/>
      <c r="F28" s="97"/>
      <c r="G28" s="98">
        <v>16.3</v>
      </c>
      <c r="H28" s="99"/>
      <c r="I28" s="86"/>
    </row>
    <row r="29" spans="1:9" ht="12.75">
      <c r="A29" s="100" t="s">
        <v>93</v>
      </c>
      <c r="B29" s="11"/>
      <c r="C29" s="11" t="s">
        <v>94</v>
      </c>
      <c r="D29" s="11" t="s">
        <v>95</v>
      </c>
      <c r="E29" s="11"/>
      <c r="F29" s="11" t="s">
        <v>52</v>
      </c>
      <c r="G29" s="44">
        <v>163</v>
      </c>
      <c r="H29" s="101">
        <v>0</v>
      </c>
      <c r="I29" s="86"/>
    </row>
    <row r="30" spans="1:9" ht="12" customHeight="1">
      <c r="A30" s="86"/>
      <c r="D30" s="97" t="s">
        <v>425</v>
      </c>
      <c r="E30" s="97"/>
      <c r="F30" s="97"/>
      <c r="G30" s="98">
        <v>163</v>
      </c>
      <c r="H30" s="99"/>
      <c r="I30" s="86"/>
    </row>
    <row r="31" spans="1:9" ht="12.75">
      <c r="A31" s="100" t="s">
        <v>96</v>
      </c>
      <c r="B31" s="11"/>
      <c r="C31" s="11" t="s">
        <v>97</v>
      </c>
      <c r="D31" s="11" t="s">
        <v>98</v>
      </c>
      <c r="E31" s="11"/>
      <c r="F31" s="11" t="s">
        <v>99</v>
      </c>
      <c r="G31" s="44">
        <v>16.3</v>
      </c>
      <c r="H31" s="101">
        <v>0</v>
      </c>
      <c r="I31" s="86"/>
    </row>
    <row r="32" spans="1:9" ht="12" customHeight="1">
      <c r="A32" s="86"/>
      <c r="D32" s="97" t="s">
        <v>424</v>
      </c>
      <c r="E32" s="97"/>
      <c r="F32" s="97"/>
      <c r="G32" s="98">
        <v>16.3</v>
      </c>
      <c r="H32" s="99"/>
      <c r="I32" s="86"/>
    </row>
    <row r="33" spans="1:9" ht="12.75">
      <c r="A33" s="100" t="s">
        <v>47</v>
      </c>
      <c r="B33" s="11"/>
      <c r="C33" s="11" t="s">
        <v>102</v>
      </c>
      <c r="D33" s="11" t="s">
        <v>103</v>
      </c>
      <c r="E33" s="11"/>
      <c r="F33" s="11" t="s">
        <v>52</v>
      </c>
      <c r="G33" s="44">
        <v>16.3</v>
      </c>
      <c r="H33" s="101">
        <v>0</v>
      </c>
      <c r="I33" s="86"/>
    </row>
    <row r="34" spans="1:9" ht="12" customHeight="1">
      <c r="A34" s="86"/>
      <c r="D34" s="97" t="s">
        <v>424</v>
      </c>
      <c r="E34" s="97"/>
      <c r="F34" s="97"/>
      <c r="G34" s="98">
        <v>16.3</v>
      </c>
      <c r="H34" s="99"/>
      <c r="I34" s="86"/>
    </row>
    <row r="35" spans="1:9" ht="12.75">
      <c r="A35" s="100" t="s">
        <v>58</v>
      </c>
      <c r="B35" s="11"/>
      <c r="C35" s="11" t="s">
        <v>106</v>
      </c>
      <c r="D35" s="11" t="s">
        <v>107</v>
      </c>
      <c r="E35" s="11"/>
      <c r="F35" s="11" t="s">
        <v>52</v>
      </c>
      <c r="G35" s="44">
        <v>29.2</v>
      </c>
      <c r="H35" s="101">
        <v>0</v>
      </c>
      <c r="I35" s="86"/>
    </row>
    <row r="36" spans="1:9" ht="12" customHeight="1">
      <c r="A36" s="86"/>
      <c r="D36" s="97" t="s">
        <v>426</v>
      </c>
      <c r="E36" s="97"/>
      <c r="F36" s="97"/>
      <c r="G36" s="98">
        <v>29.2</v>
      </c>
      <c r="H36" s="99"/>
      <c r="I36" s="86"/>
    </row>
    <row r="37" spans="1:9" ht="12.75">
      <c r="A37" s="100" t="s">
        <v>108</v>
      </c>
      <c r="B37" s="11"/>
      <c r="C37" s="11" t="s">
        <v>109</v>
      </c>
      <c r="D37" s="11" t="s">
        <v>110</v>
      </c>
      <c r="E37" s="11"/>
      <c r="F37" s="11" t="s">
        <v>52</v>
      </c>
      <c r="G37" s="44">
        <v>29.2</v>
      </c>
      <c r="H37" s="101">
        <v>0</v>
      </c>
      <c r="I37" s="86"/>
    </row>
    <row r="38" spans="1:9" ht="12" customHeight="1">
      <c r="A38" s="86"/>
      <c r="D38" s="97" t="s">
        <v>426</v>
      </c>
      <c r="E38" s="97"/>
      <c r="F38" s="97"/>
      <c r="G38" s="98">
        <v>29.2</v>
      </c>
      <c r="H38" s="99"/>
      <c r="I38" s="86"/>
    </row>
    <row r="39" spans="1:9" ht="12.75">
      <c r="A39" s="100" t="s">
        <v>73</v>
      </c>
      <c r="B39" s="11"/>
      <c r="C39" s="11" t="s">
        <v>113</v>
      </c>
      <c r="D39" s="11" t="s">
        <v>114</v>
      </c>
      <c r="E39" s="11"/>
      <c r="F39" s="11" t="s">
        <v>78</v>
      </c>
      <c r="G39" s="44">
        <v>27</v>
      </c>
      <c r="H39" s="101">
        <v>0</v>
      </c>
      <c r="I39" s="86"/>
    </row>
    <row r="40" spans="1:9" ht="12" customHeight="1">
      <c r="A40" s="86"/>
      <c r="D40" s="97" t="s">
        <v>427</v>
      </c>
      <c r="E40" s="97"/>
      <c r="F40" s="97"/>
      <c r="G40" s="98">
        <v>27</v>
      </c>
      <c r="H40" s="99"/>
      <c r="I40" s="86"/>
    </row>
    <row r="41" spans="1:9" ht="12.75">
      <c r="A41" s="100" t="s">
        <v>83</v>
      </c>
      <c r="B41" s="11"/>
      <c r="C41" s="11" t="s">
        <v>116</v>
      </c>
      <c r="D41" s="11" t="s">
        <v>117</v>
      </c>
      <c r="E41" s="11"/>
      <c r="F41" s="11" t="s">
        <v>78</v>
      </c>
      <c r="G41" s="44">
        <v>5</v>
      </c>
      <c r="H41" s="101">
        <v>0</v>
      </c>
      <c r="I41" s="86"/>
    </row>
    <row r="42" spans="1:9" ht="12" customHeight="1">
      <c r="A42" s="86"/>
      <c r="D42" s="97" t="s">
        <v>70</v>
      </c>
      <c r="E42" s="97"/>
      <c r="F42" s="97"/>
      <c r="G42" s="98">
        <v>5</v>
      </c>
      <c r="H42" s="99"/>
      <c r="I42" s="86"/>
    </row>
    <row r="43" spans="1:9" ht="12.75">
      <c r="A43" s="100" t="s">
        <v>100</v>
      </c>
      <c r="B43" s="11"/>
      <c r="C43" s="11" t="s">
        <v>118</v>
      </c>
      <c r="D43" s="11" t="s">
        <v>119</v>
      </c>
      <c r="E43" s="11"/>
      <c r="F43" s="11" t="s">
        <v>78</v>
      </c>
      <c r="G43" s="44">
        <v>5</v>
      </c>
      <c r="H43" s="101">
        <v>0</v>
      </c>
      <c r="I43" s="86"/>
    </row>
    <row r="44" spans="1:9" ht="12" customHeight="1">
      <c r="A44" s="86"/>
      <c r="D44" s="97" t="s">
        <v>70</v>
      </c>
      <c r="E44" s="97"/>
      <c r="F44" s="97"/>
      <c r="G44" s="98">
        <v>5</v>
      </c>
      <c r="H44" s="99"/>
      <c r="I44" s="86"/>
    </row>
    <row r="45" spans="1:9" ht="12.75">
      <c r="A45" s="100" t="s">
        <v>111</v>
      </c>
      <c r="B45" s="11"/>
      <c r="C45" s="11" t="s">
        <v>122</v>
      </c>
      <c r="D45" s="11" t="s">
        <v>123</v>
      </c>
      <c r="E45" s="11"/>
      <c r="F45" s="11" t="s">
        <v>78</v>
      </c>
      <c r="G45" s="44">
        <v>27</v>
      </c>
      <c r="H45" s="101">
        <v>0</v>
      </c>
      <c r="I45" s="86"/>
    </row>
    <row r="46" spans="1:9" ht="12" customHeight="1">
      <c r="A46" s="86"/>
      <c r="D46" s="97" t="s">
        <v>167</v>
      </c>
      <c r="E46" s="97"/>
      <c r="F46" s="97"/>
      <c r="G46" s="98">
        <v>27</v>
      </c>
      <c r="H46" s="99"/>
      <c r="I46" s="86"/>
    </row>
    <row r="47" spans="1:9" ht="12.75">
      <c r="A47" s="100" t="s">
        <v>126</v>
      </c>
      <c r="B47" s="11"/>
      <c r="C47" s="11" t="s">
        <v>127</v>
      </c>
      <c r="D47" s="11" t="s">
        <v>128</v>
      </c>
      <c r="E47" s="11"/>
      <c r="F47" s="11" t="s">
        <v>129</v>
      </c>
      <c r="G47" s="44">
        <v>14</v>
      </c>
      <c r="H47" s="101">
        <v>0</v>
      </c>
      <c r="I47" s="86"/>
    </row>
    <row r="48" spans="1:9" ht="12" customHeight="1">
      <c r="A48" s="86"/>
      <c r="D48" s="97" t="s">
        <v>108</v>
      </c>
      <c r="E48" s="97"/>
      <c r="F48" s="97"/>
      <c r="G48" s="98">
        <v>14</v>
      </c>
      <c r="H48" s="99"/>
      <c r="I48" s="86"/>
    </row>
    <row r="49" spans="1:9" ht="12.75">
      <c r="A49" s="100" t="s">
        <v>132</v>
      </c>
      <c r="B49" s="11"/>
      <c r="C49" s="11" t="s">
        <v>133</v>
      </c>
      <c r="D49" s="11" t="s">
        <v>134</v>
      </c>
      <c r="E49" s="11"/>
      <c r="F49" s="11" t="s">
        <v>78</v>
      </c>
      <c r="G49" s="44">
        <v>30</v>
      </c>
      <c r="H49" s="101">
        <v>0</v>
      </c>
      <c r="I49" s="86"/>
    </row>
    <row r="50" spans="1:9" ht="12" customHeight="1">
      <c r="A50" s="86"/>
      <c r="D50" s="97" t="s">
        <v>177</v>
      </c>
      <c r="E50" s="97"/>
      <c r="F50" s="97"/>
      <c r="G50" s="98">
        <v>30</v>
      </c>
      <c r="H50" s="99"/>
      <c r="I50" s="86"/>
    </row>
    <row r="51" spans="1:9" ht="12.75">
      <c r="A51" s="100" t="s">
        <v>139</v>
      </c>
      <c r="B51" s="11"/>
      <c r="C51" s="11" t="s">
        <v>140</v>
      </c>
      <c r="D51" s="11" t="s">
        <v>141</v>
      </c>
      <c r="E51" s="11"/>
      <c r="F51" s="11" t="s">
        <v>52</v>
      </c>
      <c r="G51" s="44">
        <v>7.488</v>
      </c>
      <c r="H51" s="101">
        <v>0</v>
      </c>
      <c r="I51" s="86"/>
    </row>
    <row r="52" spans="1:9" ht="12" customHeight="1">
      <c r="A52" s="86"/>
      <c r="D52" s="97" t="s">
        <v>428</v>
      </c>
      <c r="E52" s="97"/>
      <c r="F52" s="97"/>
      <c r="G52" s="98">
        <v>3.744</v>
      </c>
      <c r="H52" s="99"/>
      <c r="I52" s="86"/>
    </row>
    <row r="53" spans="1:9" ht="12" customHeight="1">
      <c r="A53" s="100"/>
      <c r="B53" s="11"/>
      <c r="C53" s="11"/>
      <c r="D53" s="97" t="s">
        <v>428</v>
      </c>
      <c r="E53" s="97"/>
      <c r="F53" s="97"/>
      <c r="G53" s="98">
        <v>3.744</v>
      </c>
      <c r="H53" s="102"/>
      <c r="I53" s="86"/>
    </row>
    <row r="54" spans="1:9" ht="12.75">
      <c r="A54" s="100" t="s">
        <v>143</v>
      </c>
      <c r="B54" s="11"/>
      <c r="C54" s="11" t="s">
        <v>144</v>
      </c>
      <c r="D54" s="11" t="s">
        <v>145</v>
      </c>
      <c r="E54" s="11"/>
      <c r="F54" s="11" t="s">
        <v>99</v>
      </c>
      <c r="G54" s="44">
        <v>0.405</v>
      </c>
      <c r="H54" s="101">
        <v>0</v>
      </c>
      <c r="I54" s="86"/>
    </row>
    <row r="55" spans="1:9" ht="12" customHeight="1">
      <c r="A55" s="86"/>
      <c r="D55" s="97" t="s">
        <v>429</v>
      </c>
      <c r="E55" s="97"/>
      <c r="F55" s="97"/>
      <c r="G55" s="98">
        <v>0.324</v>
      </c>
      <c r="H55" s="99"/>
      <c r="I55" s="86"/>
    </row>
    <row r="56" spans="1:9" ht="12" customHeight="1">
      <c r="A56" s="100"/>
      <c r="B56" s="11"/>
      <c r="C56" s="11"/>
      <c r="D56" s="97" t="s">
        <v>430</v>
      </c>
      <c r="E56" s="97"/>
      <c r="F56" s="97"/>
      <c r="G56" s="98">
        <v>0.081</v>
      </c>
      <c r="H56" s="102"/>
      <c r="I56" s="86"/>
    </row>
    <row r="57" spans="1:9" ht="12.75">
      <c r="A57" s="100" t="s">
        <v>148</v>
      </c>
      <c r="B57" s="11"/>
      <c r="C57" s="11" t="s">
        <v>149</v>
      </c>
      <c r="D57" s="11" t="s">
        <v>150</v>
      </c>
      <c r="E57" s="11"/>
      <c r="F57" s="11" t="s">
        <v>78</v>
      </c>
      <c r="G57" s="44">
        <v>86.4</v>
      </c>
      <c r="H57" s="101">
        <v>0</v>
      </c>
      <c r="I57" s="86"/>
    </row>
    <row r="58" spans="1:9" ht="12" customHeight="1">
      <c r="A58" s="86"/>
      <c r="D58" s="97" t="s">
        <v>431</v>
      </c>
      <c r="E58" s="97"/>
      <c r="F58" s="97"/>
      <c r="G58" s="98">
        <v>86.4</v>
      </c>
      <c r="H58" s="99"/>
      <c r="I58" s="86"/>
    </row>
    <row r="59" spans="1:9" ht="12.75">
      <c r="A59" s="100" t="s">
        <v>155</v>
      </c>
      <c r="B59" s="11"/>
      <c r="C59" s="11" t="s">
        <v>156</v>
      </c>
      <c r="D59" s="11" t="s">
        <v>157</v>
      </c>
      <c r="E59" s="11"/>
      <c r="F59" s="11" t="s">
        <v>158</v>
      </c>
      <c r="G59" s="44">
        <v>192</v>
      </c>
      <c r="H59" s="101">
        <v>0</v>
      </c>
      <c r="I59" s="86"/>
    </row>
    <row r="60" spans="1:9" ht="12" customHeight="1">
      <c r="A60" s="86"/>
      <c r="D60" s="97" t="s">
        <v>432</v>
      </c>
      <c r="E60" s="97"/>
      <c r="F60" s="97"/>
      <c r="G60" s="98">
        <v>192</v>
      </c>
      <c r="H60" s="99"/>
      <c r="I60" s="86"/>
    </row>
    <row r="61" spans="1:9" ht="12.75">
      <c r="A61" s="100" t="s">
        <v>161</v>
      </c>
      <c r="B61" s="11"/>
      <c r="C61" s="11" t="s">
        <v>162</v>
      </c>
      <c r="D61" s="11" t="s">
        <v>163</v>
      </c>
      <c r="E61" s="11"/>
      <c r="F61" s="11" t="s">
        <v>158</v>
      </c>
      <c r="G61" s="44">
        <v>46</v>
      </c>
      <c r="H61" s="101">
        <v>0</v>
      </c>
      <c r="I61" s="86"/>
    </row>
    <row r="62" spans="1:9" ht="12" customHeight="1">
      <c r="A62" s="86"/>
      <c r="D62" s="97" t="s">
        <v>238</v>
      </c>
      <c r="E62" s="97"/>
      <c r="F62" s="97"/>
      <c r="G62" s="98">
        <v>46</v>
      </c>
      <c r="H62" s="99"/>
      <c r="I62" s="86"/>
    </row>
    <row r="63" spans="1:9" ht="12.75">
      <c r="A63" s="100" t="s">
        <v>164</v>
      </c>
      <c r="B63" s="11"/>
      <c r="C63" s="11" t="s">
        <v>165</v>
      </c>
      <c r="D63" s="11" t="s">
        <v>166</v>
      </c>
      <c r="E63" s="11"/>
      <c r="F63" s="11" t="s">
        <v>158</v>
      </c>
      <c r="G63" s="44">
        <v>60</v>
      </c>
      <c r="H63" s="101">
        <v>0</v>
      </c>
      <c r="I63" s="86"/>
    </row>
    <row r="64" spans="1:9" ht="12" customHeight="1">
      <c r="A64" s="86"/>
      <c r="D64" s="97" t="s">
        <v>291</v>
      </c>
      <c r="E64" s="97"/>
      <c r="F64" s="97"/>
      <c r="G64" s="98">
        <v>60</v>
      </c>
      <c r="H64" s="99"/>
      <c r="I64" s="86"/>
    </row>
    <row r="65" spans="1:9" ht="12.75">
      <c r="A65" s="100" t="s">
        <v>167</v>
      </c>
      <c r="B65" s="11"/>
      <c r="C65" s="11" t="s">
        <v>168</v>
      </c>
      <c r="D65" s="11" t="s">
        <v>169</v>
      </c>
      <c r="E65" s="11"/>
      <c r="F65" s="11" t="s">
        <v>170</v>
      </c>
      <c r="G65" s="44">
        <v>2</v>
      </c>
      <c r="H65" s="101">
        <v>0</v>
      </c>
      <c r="I65" s="86"/>
    </row>
    <row r="66" spans="1:9" ht="12" customHeight="1">
      <c r="A66" s="86"/>
      <c r="D66" s="97" t="s">
        <v>60</v>
      </c>
      <c r="E66" s="97"/>
      <c r="F66" s="97"/>
      <c r="G66" s="98">
        <v>2</v>
      </c>
      <c r="H66" s="99"/>
      <c r="I66" s="86"/>
    </row>
    <row r="67" spans="1:9" ht="12.75">
      <c r="A67" s="100" t="s">
        <v>171</v>
      </c>
      <c r="B67" s="11"/>
      <c r="C67" s="11" t="s">
        <v>172</v>
      </c>
      <c r="D67" s="11" t="s">
        <v>173</v>
      </c>
      <c r="E67" s="11"/>
      <c r="F67" s="11" t="s">
        <v>158</v>
      </c>
      <c r="G67" s="44">
        <v>8</v>
      </c>
      <c r="H67" s="101">
        <v>0</v>
      </c>
      <c r="I67" s="86"/>
    </row>
    <row r="68" spans="1:9" ht="12" customHeight="1">
      <c r="A68" s="86"/>
      <c r="D68" s="97" t="s">
        <v>85</v>
      </c>
      <c r="E68" s="97"/>
      <c r="F68" s="97"/>
      <c r="G68" s="98">
        <v>8</v>
      </c>
      <c r="H68" s="99"/>
      <c r="I68" s="86"/>
    </row>
    <row r="69" spans="1:9" ht="12.75">
      <c r="A69" s="100" t="s">
        <v>174</v>
      </c>
      <c r="B69" s="11"/>
      <c r="C69" s="11" t="s">
        <v>175</v>
      </c>
      <c r="D69" s="11" t="s">
        <v>176</v>
      </c>
      <c r="E69" s="11"/>
      <c r="F69" s="11" t="s">
        <v>158</v>
      </c>
      <c r="G69" s="44">
        <v>10</v>
      </c>
      <c r="H69" s="101">
        <v>0</v>
      </c>
      <c r="I69" s="86"/>
    </row>
    <row r="70" spans="1:9" ht="12" customHeight="1">
      <c r="A70" s="86"/>
      <c r="D70" s="97" t="s">
        <v>93</v>
      </c>
      <c r="E70" s="97"/>
      <c r="F70" s="97"/>
      <c r="G70" s="98">
        <v>10</v>
      </c>
      <c r="H70" s="99"/>
      <c r="I70" s="86"/>
    </row>
    <row r="71" spans="1:9" ht="12.75">
      <c r="A71" s="100" t="s">
        <v>177</v>
      </c>
      <c r="B71" s="11"/>
      <c r="C71" s="11" t="s">
        <v>178</v>
      </c>
      <c r="D71" s="11" t="s">
        <v>179</v>
      </c>
      <c r="E71" s="11"/>
      <c r="F71" s="11" t="s">
        <v>158</v>
      </c>
      <c r="G71" s="44">
        <v>32</v>
      </c>
      <c r="H71" s="101">
        <v>0</v>
      </c>
      <c r="I71" s="86"/>
    </row>
    <row r="72" spans="1:9" ht="12" customHeight="1">
      <c r="A72" s="86"/>
      <c r="D72" s="97" t="s">
        <v>184</v>
      </c>
      <c r="E72" s="97"/>
      <c r="F72" s="97"/>
      <c r="G72" s="98">
        <v>32</v>
      </c>
      <c r="H72" s="99"/>
      <c r="I72" s="86"/>
    </row>
    <row r="73" spans="1:9" ht="12.75">
      <c r="A73" s="100" t="s">
        <v>180</v>
      </c>
      <c r="B73" s="11"/>
      <c r="C73" s="11" t="s">
        <v>181</v>
      </c>
      <c r="D73" s="11" t="s">
        <v>182</v>
      </c>
      <c r="E73" s="11"/>
      <c r="F73" s="11" t="s">
        <v>158</v>
      </c>
      <c r="G73" s="44">
        <v>35</v>
      </c>
      <c r="H73" s="101">
        <v>0</v>
      </c>
      <c r="I73" s="86"/>
    </row>
    <row r="74" spans="1:9" ht="12" customHeight="1">
      <c r="A74" s="86"/>
      <c r="D74" s="97" t="s">
        <v>192</v>
      </c>
      <c r="E74" s="97"/>
      <c r="F74" s="97"/>
      <c r="G74" s="98">
        <v>35</v>
      </c>
      <c r="H74" s="99"/>
      <c r="I74" s="86"/>
    </row>
    <row r="75" spans="1:9" ht="12.75">
      <c r="A75" s="100" t="s">
        <v>184</v>
      </c>
      <c r="B75" s="11"/>
      <c r="C75" s="11" t="s">
        <v>185</v>
      </c>
      <c r="D75" s="11" t="s">
        <v>186</v>
      </c>
      <c r="E75" s="11"/>
      <c r="F75" s="11" t="s">
        <v>170</v>
      </c>
      <c r="G75" s="44">
        <v>2</v>
      </c>
      <c r="H75" s="101">
        <v>0</v>
      </c>
      <c r="I75" s="86"/>
    </row>
    <row r="76" spans="1:9" ht="12" customHeight="1">
      <c r="A76" s="86"/>
      <c r="D76" s="97" t="s">
        <v>60</v>
      </c>
      <c r="E76" s="97"/>
      <c r="F76" s="97"/>
      <c r="G76" s="98">
        <v>2</v>
      </c>
      <c r="H76" s="99"/>
      <c r="I76" s="86"/>
    </row>
    <row r="77" spans="1:9" ht="12.75">
      <c r="A77" s="100" t="s">
        <v>187</v>
      </c>
      <c r="B77" s="11"/>
      <c r="C77" s="11" t="s">
        <v>188</v>
      </c>
      <c r="D77" s="11" t="s">
        <v>189</v>
      </c>
      <c r="E77" s="11"/>
      <c r="F77" s="11" t="s">
        <v>170</v>
      </c>
      <c r="G77" s="44">
        <v>4</v>
      </c>
      <c r="H77" s="101">
        <v>0</v>
      </c>
      <c r="I77" s="86"/>
    </row>
    <row r="78" spans="1:9" ht="12" customHeight="1">
      <c r="A78" s="86"/>
      <c r="D78" s="97" t="s">
        <v>67</v>
      </c>
      <c r="E78" s="97"/>
      <c r="F78" s="97"/>
      <c r="G78" s="98">
        <v>4</v>
      </c>
      <c r="H78" s="99"/>
      <c r="I78" s="86"/>
    </row>
    <row r="79" spans="1:9" ht="12.75">
      <c r="A79" s="100" t="s">
        <v>120</v>
      </c>
      <c r="B79" s="11"/>
      <c r="C79" s="11" t="s">
        <v>190</v>
      </c>
      <c r="D79" s="11" t="s">
        <v>191</v>
      </c>
      <c r="E79" s="11"/>
      <c r="F79" s="11" t="s">
        <v>170</v>
      </c>
      <c r="G79" s="44">
        <v>5</v>
      </c>
      <c r="H79" s="101">
        <v>0</v>
      </c>
      <c r="I79" s="86"/>
    </row>
    <row r="80" spans="1:9" ht="12" customHeight="1">
      <c r="A80" s="86"/>
      <c r="D80" s="97" t="s">
        <v>70</v>
      </c>
      <c r="E80" s="97"/>
      <c r="F80" s="97"/>
      <c r="G80" s="98">
        <v>5</v>
      </c>
      <c r="H80" s="99"/>
      <c r="I80" s="86"/>
    </row>
    <row r="81" spans="1:9" ht="12.75">
      <c r="A81" s="100" t="s">
        <v>192</v>
      </c>
      <c r="B81" s="11"/>
      <c r="C81" s="11" t="s">
        <v>193</v>
      </c>
      <c r="D81" s="11" t="s">
        <v>194</v>
      </c>
      <c r="E81" s="11"/>
      <c r="F81" s="11" t="s">
        <v>170</v>
      </c>
      <c r="G81" s="44">
        <v>1</v>
      </c>
      <c r="H81" s="101">
        <v>0</v>
      </c>
      <c r="I81" s="86"/>
    </row>
    <row r="82" spans="1:9" ht="12.75">
      <c r="A82" s="100" t="s">
        <v>195</v>
      </c>
      <c r="B82" s="11"/>
      <c r="C82" s="11" t="s">
        <v>196</v>
      </c>
      <c r="D82" s="11" t="s">
        <v>197</v>
      </c>
      <c r="E82" s="11"/>
      <c r="F82" s="11" t="s">
        <v>170</v>
      </c>
      <c r="G82" s="44">
        <v>16</v>
      </c>
      <c r="H82" s="101">
        <v>0</v>
      </c>
      <c r="I82" s="86"/>
    </row>
    <row r="83" spans="1:9" ht="12" customHeight="1">
      <c r="A83" s="86"/>
      <c r="D83" s="97" t="s">
        <v>83</v>
      </c>
      <c r="E83" s="97"/>
      <c r="F83" s="97"/>
      <c r="G83" s="98">
        <v>16</v>
      </c>
      <c r="H83" s="99"/>
      <c r="I83" s="86"/>
    </row>
    <row r="84" spans="1:9" ht="12.75">
      <c r="A84" s="100" t="s">
        <v>198</v>
      </c>
      <c r="B84" s="11"/>
      <c r="C84" s="11" t="s">
        <v>199</v>
      </c>
      <c r="D84" s="11" t="s">
        <v>200</v>
      </c>
      <c r="E84" s="11"/>
      <c r="F84" s="11" t="s">
        <v>158</v>
      </c>
      <c r="G84" s="44">
        <v>192</v>
      </c>
      <c r="H84" s="101">
        <v>0</v>
      </c>
      <c r="I84" s="86"/>
    </row>
    <row r="85" spans="1:9" ht="12" customHeight="1">
      <c r="A85" s="86"/>
      <c r="D85" s="97" t="s">
        <v>433</v>
      </c>
      <c r="E85" s="97"/>
      <c r="F85" s="97"/>
      <c r="G85" s="98">
        <v>192</v>
      </c>
      <c r="H85" s="99"/>
      <c r="I85" s="86"/>
    </row>
    <row r="86" spans="1:9" ht="12.75">
      <c r="A86" s="100" t="s">
        <v>201</v>
      </c>
      <c r="B86" s="11"/>
      <c r="C86" s="11" t="s">
        <v>202</v>
      </c>
      <c r="D86" s="11" t="s">
        <v>203</v>
      </c>
      <c r="E86" s="11"/>
      <c r="F86" s="11" t="s">
        <v>204</v>
      </c>
      <c r="G86" s="44">
        <v>1</v>
      </c>
      <c r="H86" s="101">
        <v>0</v>
      </c>
      <c r="I86" s="86"/>
    </row>
    <row r="87" spans="1:9" ht="12" customHeight="1">
      <c r="A87" s="86"/>
      <c r="D87" s="97" t="s">
        <v>49</v>
      </c>
      <c r="E87" s="97"/>
      <c r="F87" s="97"/>
      <c r="G87" s="98">
        <v>1</v>
      </c>
      <c r="H87" s="99"/>
      <c r="I87" s="86"/>
    </row>
    <row r="88" spans="1:9" ht="12.75">
      <c r="A88" s="100" t="s">
        <v>205</v>
      </c>
      <c r="B88" s="11"/>
      <c r="C88" s="11" t="s">
        <v>206</v>
      </c>
      <c r="D88" s="11" t="s">
        <v>207</v>
      </c>
      <c r="E88" s="11"/>
      <c r="F88" s="11" t="s">
        <v>204</v>
      </c>
      <c r="G88" s="44">
        <v>1</v>
      </c>
      <c r="H88" s="101">
        <v>0</v>
      </c>
      <c r="I88" s="86"/>
    </row>
    <row r="89" spans="1:9" ht="12" customHeight="1">
      <c r="A89" s="86"/>
      <c r="D89" s="97" t="s">
        <v>49</v>
      </c>
      <c r="E89" s="97"/>
      <c r="F89" s="97"/>
      <c r="G89" s="98">
        <v>1</v>
      </c>
      <c r="H89" s="99"/>
      <c r="I89" s="86"/>
    </row>
    <row r="90" spans="1:9" ht="12.75">
      <c r="A90" s="100" t="s">
        <v>210</v>
      </c>
      <c r="B90" s="11"/>
      <c r="C90" s="11" t="s">
        <v>211</v>
      </c>
      <c r="D90" s="11" t="s">
        <v>212</v>
      </c>
      <c r="E90" s="11"/>
      <c r="F90" s="11" t="s">
        <v>213</v>
      </c>
      <c r="G90" s="44">
        <v>1</v>
      </c>
      <c r="H90" s="101">
        <v>0</v>
      </c>
      <c r="I90" s="86"/>
    </row>
    <row r="91" spans="1:9" ht="12" customHeight="1">
      <c r="A91" s="86"/>
      <c r="D91" s="97" t="s">
        <v>49</v>
      </c>
      <c r="E91" s="97"/>
      <c r="F91" s="97"/>
      <c r="G91" s="98">
        <v>1</v>
      </c>
      <c r="H91" s="99"/>
      <c r="I91" s="86"/>
    </row>
    <row r="92" spans="1:9" ht="12.75">
      <c r="A92" s="100" t="s">
        <v>217</v>
      </c>
      <c r="B92" s="11"/>
      <c r="C92" s="11" t="s">
        <v>218</v>
      </c>
      <c r="D92" s="11" t="s">
        <v>219</v>
      </c>
      <c r="E92" s="11"/>
      <c r="F92" s="11" t="s">
        <v>170</v>
      </c>
      <c r="G92" s="44">
        <v>1</v>
      </c>
      <c r="H92" s="101">
        <v>0</v>
      </c>
      <c r="I92" s="86"/>
    </row>
    <row r="93" spans="1:9" ht="12" customHeight="1">
      <c r="A93" s="86"/>
      <c r="D93" s="97" t="s">
        <v>49</v>
      </c>
      <c r="E93" s="97"/>
      <c r="F93" s="97"/>
      <c r="G93" s="98">
        <v>1</v>
      </c>
      <c r="H93" s="99"/>
      <c r="I93" s="86"/>
    </row>
    <row r="94" spans="1:9" ht="12.75">
      <c r="A94" s="100" t="s">
        <v>222</v>
      </c>
      <c r="B94" s="11"/>
      <c r="C94" s="11" t="s">
        <v>223</v>
      </c>
      <c r="D94" s="11" t="s">
        <v>224</v>
      </c>
      <c r="E94" s="11"/>
      <c r="F94" s="11" t="s">
        <v>170</v>
      </c>
      <c r="G94" s="44">
        <v>2</v>
      </c>
      <c r="H94" s="101">
        <v>0</v>
      </c>
      <c r="I94" s="86"/>
    </row>
    <row r="95" spans="1:9" ht="12" customHeight="1">
      <c r="A95" s="86"/>
      <c r="D95" s="97" t="s">
        <v>60</v>
      </c>
      <c r="E95" s="97"/>
      <c r="F95" s="97"/>
      <c r="G95" s="98">
        <v>2</v>
      </c>
      <c r="H95" s="99"/>
      <c r="I95" s="86"/>
    </row>
    <row r="96" spans="1:9" ht="12.75">
      <c r="A96" s="100" t="s">
        <v>225</v>
      </c>
      <c r="B96" s="11"/>
      <c r="C96" s="11" t="s">
        <v>229</v>
      </c>
      <c r="D96" s="11" t="s">
        <v>230</v>
      </c>
      <c r="E96" s="11"/>
      <c r="F96" s="11" t="s">
        <v>213</v>
      </c>
      <c r="G96" s="44">
        <v>1</v>
      </c>
      <c r="H96" s="101">
        <v>0</v>
      </c>
      <c r="I96" s="86"/>
    </row>
    <row r="97" spans="1:9" ht="12" customHeight="1">
      <c r="A97" s="86"/>
      <c r="D97" s="97" t="s">
        <v>49</v>
      </c>
      <c r="E97" s="97"/>
      <c r="F97" s="97"/>
      <c r="G97" s="98">
        <v>1</v>
      </c>
      <c r="H97" s="99"/>
      <c r="I97" s="86"/>
    </row>
    <row r="98" spans="1:9" ht="12.75">
      <c r="A98" s="100" t="s">
        <v>228</v>
      </c>
      <c r="B98" s="11"/>
      <c r="C98" s="11" t="s">
        <v>234</v>
      </c>
      <c r="D98" s="11" t="s">
        <v>235</v>
      </c>
      <c r="E98" s="11"/>
      <c r="F98" s="11" t="s">
        <v>78</v>
      </c>
      <c r="G98" s="44">
        <v>19</v>
      </c>
      <c r="H98" s="101">
        <v>0</v>
      </c>
      <c r="I98" s="86"/>
    </row>
    <row r="99" spans="1:9" ht="12" customHeight="1">
      <c r="A99" s="86"/>
      <c r="D99" s="97" t="s">
        <v>96</v>
      </c>
      <c r="E99" s="97"/>
      <c r="F99" s="97"/>
      <c r="G99" s="98">
        <v>11</v>
      </c>
      <c r="H99" s="99"/>
      <c r="I99" s="86"/>
    </row>
    <row r="100" spans="1:9" ht="12" customHeight="1">
      <c r="A100" s="100"/>
      <c r="B100" s="11"/>
      <c r="C100" s="11"/>
      <c r="D100" s="97" t="s">
        <v>85</v>
      </c>
      <c r="E100" s="97" t="s">
        <v>434</v>
      </c>
      <c r="F100" s="97"/>
      <c r="G100" s="98">
        <v>8</v>
      </c>
      <c r="H100" s="102"/>
      <c r="I100" s="86"/>
    </row>
    <row r="101" spans="1:9" ht="12.75">
      <c r="A101" s="100" t="s">
        <v>233</v>
      </c>
      <c r="B101" s="11"/>
      <c r="C101" s="11" t="s">
        <v>239</v>
      </c>
      <c r="D101" s="11" t="s">
        <v>240</v>
      </c>
      <c r="E101" s="11"/>
      <c r="F101" s="11" t="s">
        <v>78</v>
      </c>
      <c r="G101" s="44">
        <v>19</v>
      </c>
      <c r="H101" s="101">
        <v>0</v>
      </c>
      <c r="I101" s="86"/>
    </row>
    <row r="102" spans="1:9" ht="12" customHeight="1">
      <c r="A102" s="86"/>
      <c r="D102" s="97" t="s">
        <v>96</v>
      </c>
      <c r="E102" s="97"/>
      <c r="F102" s="97"/>
      <c r="G102" s="98">
        <v>11</v>
      </c>
      <c r="H102" s="99"/>
      <c r="I102" s="86"/>
    </row>
    <row r="103" spans="1:9" ht="12" customHeight="1">
      <c r="A103" s="100"/>
      <c r="B103" s="11"/>
      <c r="C103" s="11"/>
      <c r="D103" s="97" t="s">
        <v>85</v>
      </c>
      <c r="E103" s="97" t="s">
        <v>435</v>
      </c>
      <c r="F103" s="97"/>
      <c r="G103" s="98">
        <v>8</v>
      </c>
      <c r="H103" s="102"/>
      <c r="I103" s="86"/>
    </row>
    <row r="104" spans="1:9" ht="12.75">
      <c r="A104" s="100" t="s">
        <v>238</v>
      </c>
      <c r="B104" s="11"/>
      <c r="C104" s="11" t="s">
        <v>242</v>
      </c>
      <c r="D104" s="11" t="s">
        <v>243</v>
      </c>
      <c r="E104" s="11"/>
      <c r="F104" s="11" t="s">
        <v>78</v>
      </c>
      <c r="G104" s="44">
        <v>19</v>
      </c>
      <c r="H104" s="101">
        <v>0</v>
      </c>
      <c r="I104" s="86"/>
    </row>
    <row r="105" spans="1:9" ht="12" customHeight="1">
      <c r="A105" s="86"/>
      <c r="D105" s="97" t="s">
        <v>96</v>
      </c>
      <c r="E105" s="97"/>
      <c r="F105" s="97"/>
      <c r="G105" s="98">
        <v>11</v>
      </c>
      <c r="H105" s="99"/>
      <c r="I105" s="86"/>
    </row>
    <row r="106" spans="1:9" ht="12" customHeight="1">
      <c r="A106" s="100"/>
      <c r="B106" s="11"/>
      <c r="C106" s="11"/>
      <c r="D106" s="97" t="s">
        <v>85</v>
      </c>
      <c r="E106" s="97" t="s">
        <v>435</v>
      </c>
      <c r="F106" s="97"/>
      <c r="G106" s="98">
        <v>8</v>
      </c>
      <c r="H106" s="102"/>
      <c r="I106" s="86"/>
    </row>
    <row r="107" spans="1:9" ht="12.75">
      <c r="A107" s="100" t="s">
        <v>241</v>
      </c>
      <c r="B107" s="11"/>
      <c r="C107" s="11" t="s">
        <v>245</v>
      </c>
      <c r="D107" s="11" t="s">
        <v>246</v>
      </c>
      <c r="E107" s="11"/>
      <c r="F107" s="11" t="s">
        <v>78</v>
      </c>
      <c r="G107" s="44">
        <v>19</v>
      </c>
      <c r="H107" s="101">
        <v>0</v>
      </c>
      <c r="I107" s="86"/>
    </row>
    <row r="108" spans="1:9" ht="12" customHeight="1">
      <c r="A108" s="86"/>
      <c r="D108" s="97" t="s">
        <v>96</v>
      </c>
      <c r="E108" s="97"/>
      <c r="F108" s="97"/>
      <c r="G108" s="98">
        <v>11</v>
      </c>
      <c r="H108" s="99"/>
      <c r="I108" s="86"/>
    </row>
    <row r="109" spans="1:9" ht="12" customHeight="1">
      <c r="A109" s="100"/>
      <c r="B109" s="11"/>
      <c r="C109" s="11"/>
      <c r="D109" s="97" t="s">
        <v>85</v>
      </c>
      <c r="E109" s="97" t="s">
        <v>435</v>
      </c>
      <c r="F109" s="97"/>
      <c r="G109" s="98">
        <v>8</v>
      </c>
      <c r="H109" s="102"/>
      <c r="I109" s="86"/>
    </row>
    <row r="110" spans="1:9" ht="12.75">
      <c r="A110" s="100" t="s">
        <v>244</v>
      </c>
      <c r="B110" s="11"/>
      <c r="C110" s="11" t="s">
        <v>248</v>
      </c>
      <c r="D110" s="11" t="s">
        <v>249</v>
      </c>
      <c r="E110" s="11"/>
      <c r="F110" s="11" t="s">
        <v>78</v>
      </c>
      <c r="G110" s="44">
        <v>19</v>
      </c>
      <c r="H110" s="101">
        <v>0</v>
      </c>
      <c r="I110" s="86"/>
    </row>
    <row r="111" spans="1:9" ht="12" customHeight="1">
      <c r="A111" s="86"/>
      <c r="D111" s="97" t="s">
        <v>96</v>
      </c>
      <c r="E111" s="97"/>
      <c r="F111" s="97"/>
      <c r="G111" s="98">
        <v>11</v>
      </c>
      <c r="H111" s="99"/>
      <c r="I111" s="86"/>
    </row>
    <row r="112" spans="1:9" ht="12" customHeight="1">
      <c r="A112" s="100"/>
      <c r="B112" s="11"/>
      <c r="C112" s="11"/>
      <c r="D112" s="97" t="s">
        <v>85</v>
      </c>
      <c r="E112" s="97" t="s">
        <v>435</v>
      </c>
      <c r="F112" s="97"/>
      <c r="G112" s="98">
        <v>8</v>
      </c>
      <c r="H112" s="102"/>
      <c r="I112" s="86"/>
    </row>
    <row r="113" spans="1:9" ht="12.75">
      <c r="A113" s="100" t="s">
        <v>247</v>
      </c>
      <c r="B113" s="11"/>
      <c r="C113" s="11" t="s">
        <v>251</v>
      </c>
      <c r="D113" s="11" t="s">
        <v>252</v>
      </c>
      <c r="E113" s="11"/>
      <c r="F113" s="11" t="s">
        <v>78</v>
      </c>
      <c r="G113" s="44">
        <v>22.8</v>
      </c>
      <c r="H113" s="101">
        <v>0</v>
      </c>
      <c r="I113" s="86"/>
    </row>
    <row r="114" spans="1:9" ht="12" customHeight="1">
      <c r="A114" s="86"/>
      <c r="D114" s="97" t="s">
        <v>126</v>
      </c>
      <c r="E114" s="97"/>
      <c r="F114" s="97"/>
      <c r="G114" s="98">
        <v>19</v>
      </c>
      <c r="H114" s="99"/>
      <c r="I114" s="86"/>
    </row>
    <row r="115" spans="1:9" ht="12" customHeight="1">
      <c r="A115" s="100"/>
      <c r="B115" s="11"/>
      <c r="C115" s="11"/>
      <c r="D115" s="97" t="s">
        <v>436</v>
      </c>
      <c r="E115" s="97"/>
      <c r="F115" s="97"/>
      <c r="G115" s="98">
        <v>3.8</v>
      </c>
      <c r="H115" s="102"/>
      <c r="I115" s="86"/>
    </row>
    <row r="116" spans="1:9" ht="12.75">
      <c r="A116" s="100" t="s">
        <v>250</v>
      </c>
      <c r="B116" s="11"/>
      <c r="C116" s="11" t="s">
        <v>257</v>
      </c>
      <c r="D116" s="11" t="s">
        <v>258</v>
      </c>
      <c r="E116" s="11"/>
      <c r="F116" s="11" t="s">
        <v>158</v>
      </c>
      <c r="G116" s="44">
        <v>80</v>
      </c>
      <c r="H116" s="101">
        <v>0</v>
      </c>
      <c r="I116" s="86"/>
    </row>
    <row r="117" spans="1:9" ht="12" customHeight="1">
      <c r="A117" s="86"/>
      <c r="D117" s="97" t="s">
        <v>378</v>
      </c>
      <c r="E117" s="97"/>
      <c r="F117" s="97"/>
      <c r="G117" s="98">
        <v>80</v>
      </c>
      <c r="H117" s="99"/>
      <c r="I117" s="86"/>
    </row>
    <row r="118" spans="1:9" ht="12.75">
      <c r="A118" s="100" t="s">
        <v>256</v>
      </c>
      <c r="B118" s="11"/>
      <c r="C118" s="11" t="s">
        <v>261</v>
      </c>
      <c r="D118" s="11" t="s">
        <v>262</v>
      </c>
      <c r="E118" s="11"/>
      <c r="F118" s="11" t="s">
        <v>78</v>
      </c>
      <c r="G118" s="44">
        <v>70</v>
      </c>
      <c r="H118" s="101">
        <v>0</v>
      </c>
      <c r="I118" s="86"/>
    </row>
    <row r="119" spans="1:9" ht="12" customHeight="1">
      <c r="A119" s="86"/>
      <c r="D119" s="97" t="s">
        <v>328</v>
      </c>
      <c r="E119" s="97"/>
      <c r="F119" s="97"/>
      <c r="G119" s="98">
        <v>70</v>
      </c>
      <c r="H119" s="99"/>
      <c r="I119" s="86"/>
    </row>
    <row r="120" spans="1:9" ht="12.75">
      <c r="A120" s="100" t="s">
        <v>260</v>
      </c>
      <c r="B120" s="11"/>
      <c r="C120" s="11" t="s">
        <v>264</v>
      </c>
      <c r="D120" s="11" t="s">
        <v>265</v>
      </c>
      <c r="E120" s="11"/>
      <c r="F120" s="11" t="s">
        <v>78</v>
      </c>
      <c r="G120" s="44">
        <v>70</v>
      </c>
      <c r="H120" s="101">
        <v>0</v>
      </c>
      <c r="I120" s="86"/>
    </row>
    <row r="121" spans="1:9" ht="12" customHeight="1">
      <c r="A121" s="86"/>
      <c r="D121" s="97" t="s">
        <v>328</v>
      </c>
      <c r="E121" s="97"/>
      <c r="F121" s="97"/>
      <c r="G121" s="98">
        <v>70</v>
      </c>
      <c r="H121" s="99"/>
      <c r="I121" s="86"/>
    </row>
    <row r="122" spans="1:9" ht="12.75">
      <c r="A122" s="100" t="s">
        <v>263</v>
      </c>
      <c r="B122" s="11"/>
      <c r="C122" s="11" t="s">
        <v>267</v>
      </c>
      <c r="D122" s="11" t="s">
        <v>268</v>
      </c>
      <c r="E122" s="11"/>
      <c r="F122" s="11" t="s">
        <v>78</v>
      </c>
      <c r="G122" s="44">
        <v>70</v>
      </c>
      <c r="H122" s="101">
        <v>0</v>
      </c>
      <c r="I122" s="86"/>
    </row>
    <row r="123" spans="1:9" ht="12" customHeight="1">
      <c r="A123" s="86"/>
      <c r="D123" s="97" t="s">
        <v>328</v>
      </c>
      <c r="E123" s="97"/>
      <c r="F123" s="97"/>
      <c r="G123" s="98">
        <v>70</v>
      </c>
      <c r="H123" s="99"/>
      <c r="I123" s="86"/>
    </row>
    <row r="124" spans="1:9" ht="12.75">
      <c r="A124" s="100" t="s">
        <v>266</v>
      </c>
      <c r="B124" s="11"/>
      <c r="C124" s="11" t="s">
        <v>270</v>
      </c>
      <c r="D124" s="11" t="s">
        <v>271</v>
      </c>
      <c r="E124" s="11"/>
      <c r="F124" s="11" t="s">
        <v>158</v>
      </c>
      <c r="G124" s="44">
        <v>18</v>
      </c>
      <c r="H124" s="101">
        <v>0</v>
      </c>
      <c r="I124" s="86"/>
    </row>
    <row r="125" spans="1:9" ht="12" customHeight="1">
      <c r="A125" s="86"/>
      <c r="D125" s="97" t="s">
        <v>111</v>
      </c>
      <c r="E125" s="97"/>
      <c r="F125" s="97"/>
      <c r="G125" s="98">
        <v>18</v>
      </c>
      <c r="H125" s="99"/>
      <c r="I125" s="86"/>
    </row>
    <row r="126" spans="1:9" ht="12.75">
      <c r="A126" s="100" t="s">
        <v>269</v>
      </c>
      <c r="B126" s="11"/>
      <c r="C126" s="11" t="s">
        <v>273</v>
      </c>
      <c r="D126" s="11" t="s">
        <v>274</v>
      </c>
      <c r="E126" s="11"/>
      <c r="F126" s="11" t="s">
        <v>78</v>
      </c>
      <c r="G126" s="44">
        <v>70</v>
      </c>
      <c r="H126" s="101">
        <v>0</v>
      </c>
      <c r="I126" s="86"/>
    </row>
    <row r="127" spans="1:9" ht="12" customHeight="1">
      <c r="A127" s="86"/>
      <c r="D127" s="97" t="s">
        <v>328</v>
      </c>
      <c r="E127" s="97"/>
      <c r="F127" s="97"/>
      <c r="G127" s="98">
        <v>70</v>
      </c>
      <c r="H127" s="99"/>
      <c r="I127" s="86"/>
    </row>
    <row r="128" spans="1:9" ht="12.75">
      <c r="A128" s="100" t="s">
        <v>272</v>
      </c>
      <c r="B128" s="11"/>
      <c r="C128" s="11" t="s">
        <v>278</v>
      </c>
      <c r="D128" s="11" t="s">
        <v>279</v>
      </c>
      <c r="E128" s="11"/>
      <c r="F128" s="11" t="s">
        <v>78</v>
      </c>
      <c r="G128" s="44">
        <v>91.8</v>
      </c>
      <c r="H128" s="101">
        <v>0</v>
      </c>
      <c r="I128" s="86"/>
    </row>
    <row r="129" spans="1:9" ht="12" customHeight="1">
      <c r="A129" s="86"/>
      <c r="D129" s="97" t="s">
        <v>437</v>
      </c>
      <c r="E129" s="97"/>
      <c r="F129" s="97"/>
      <c r="G129" s="98">
        <v>91.8</v>
      </c>
      <c r="H129" s="99"/>
      <c r="I129" s="86"/>
    </row>
    <row r="130" spans="1:9" ht="12.75">
      <c r="A130" s="100" t="s">
        <v>277</v>
      </c>
      <c r="B130" s="11"/>
      <c r="C130" s="11" t="s">
        <v>284</v>
      </c>
      <c r="D130" s="11" t="s">
        <v>285</v>
      </c>
      <c r="E130" s="11"/>
      <c r="F130" s="11" t="s">
        <v>170</v>
      </c>
      <c r="G130" s="44">
        <v>10</v>
      </c>
      <c r="H130" s="101">
        <v>0</v>
      </c>
      <c r="I130" s="86"/>
    </row>
    <row r="131" spans="1:9" ht="12" customHeight="1">
      <c r="A131" s="86"/>
      <c r="D131" s="97" t="s">
        <v>93</v>
      </c>
      <c r="E131" s="97"/>
      <c r="F131" s="97"/>
      <c r="G131" s="98">
        <v>10</v>
      </c>
      <c r="H131" s="99"/>
      <c r="I131" s="86"/>
    </row>
    <row r="132" spans="1:9" ht="12.75">
      <c r="A132" s="100" t="s">
        <v>283</v>
      </c>
      <c r="B132" s="11"/>
      <c r="C132" s="11" t="s">
        <v>289</v>
      </c>
      <c r="D132" s="11" t="s">
        <v>290</v>
      </c>
      <c r="E132" s="11"/>
      <c r="F132" s="11" t="s">
        <v>78</v>
      </c>
      <c r="G132" s="44">
        <v>24</v>
      </c>
      <c r="H132" s="101">
        <v>0</v>
      </c>
      <c r="I132" s="86"/>
    </row>
    <row r="133" spans="1:9" ht="12" customHeight="1">
      <c r="A133" s="86"/>
      <c r="D133" s="97" t="s">
        <v>155</v>
      </c>
      <c r="E133" s="97"/>
      <c r="F133" s="97"/>
      <c r="G133" s="98">
        <v>24</v>
      </c>
      <c r="H133" s="99"/>
      <c r="I133" s="86"/>
    </row>
    <row r="134" spans="1:9" ht="12.75">
      <c r="A134" s="100" t="s">
        <v>288</v>
      </c>
      <c r="B134" s="11"/>
      <c r="C134" s="11" t="s">
        <v>292</v>
      </c>
      <c r="D134" s="11" t="s">
        <v>293</v>
      </c>
      <c r="E134" s="11"/>
      <c r="F134" s="11" t="s">
        <v>78</v>
      </c>
      <c r="G134" s="44">
        <v>24</v>
      </c>
      <c r="H134" s="101">
        <v>0</v>
      </c>
      <c r="I134" s="86"/>
    </row>
    <row r="135" spans="1:9" ht="12" customHeight="1">
      <c r="A135" s="86"/>
      <c r="D135" s="97" t="s">
        <v>155</v>
      </c>
      <c r="E135" s="97"/>
      <c r="F135" s="97"/>
      <c r="G135" s="98">
        <v>24</v>
      </c>
      <c r="H135" s="99"/>
      <c r="I135" s="86"/>
    </row>
    <row r="136" spans="1:9" ht="12.75">
      <c r="A136" s="100" t="s">
        <v>291</v>
      </c>
      <c r="B136" s="11"/>
      <c r="C136" s="11" t="s">
        <v>294</v>
      </c>
      <c r="D136" s="11" t="s">
        <v>295</v>
      </c>
      <c r="E136" s="11"/>
      <c r="F136" s="11" t="s">
        <v>78</v>
      </c>
      <c r="G136" s="44">
        <v>24</v>
      </c>
      <c r="H136" s="101">
        <v>0</v>
      </c>
      <c r="I136" s="86"/>
    </row>
    <row r="137" spans="1:9" ht="12" customHeight="1">
      <c r="A137" s="86"/>
      <c r="D137" s="97" t="s">
        <v>155</v>
      </c>
      <c r="E137" s="97"/>
      <c r="F137" s="97"/>
      <c r="G137" s="98">
        <v>24</v>
      </c>
      <c r="H137" s="99"/>
      <c r="I137" s="86"/>
    </row>
    <row r="138" spans="1:9" ht="12.75">
      <c r="A138" s="100" t="s">
        <v>130</v>
      </c>
      <c r="B138" s="11"/>
      <c r="C138" s="11" t="s">
        <v>297</v>
      </c>
      <c r="D138" s="11" t="s">
        <v>298</v>
      </c>
      <c r="E138" s="11"/>
      <c r="F138" s="11" t="s">
        <v>78</v>
      </c>
      <c r="G138" s="44">
        <v>26.4</v>
      </c>
      <c r="H138" s="101">
        <v>0</v>
      </c>
      <c r="I138" s="86"/>
    </row>
    <row r="139" spans="1:9" ht="12" customHeight="1">
      <c r="A139" s="86"/>
      <c r="D139" s="97" t="s">
        <v>155</v>
      </c>
      <c r="E139" s="97"/>
      <c r="F139" s="97"/>
      <c r="G139" s="98">
        <v>24</v>
      </c>
      <c r="H139" s="99"/>
      <c r="I139" s="86"/>
    </row>
    <row r="140" spans="1:9" ht="12" customHeight="1">
      <c r="A140" s="100"/>
      <c r="B140" s="11"/>
      <c r="C140" s="11"/>
      <c r="D140" s="97" t="s">
        <v>438</v>
      </c>
      <c r="E140" s="97"/>
      <c r="F140" s="97"/>
      <c r="G140" s="98">
        <v>2.4</v>
      </c>
      <c r="H140" s="102"/>
      <c r="I140" s="86"/>
    </row>
    <row r="141" spans="1:9" ht="12.75">
      <c r="A141" s="100" t="s">
        <v>296</v>
      </c>
      <c r="B141" s="11"/>
      <c r="C141" s="11" t="s">
        <v>301</v>
      </c>
      <c r="D141" s="11" t="s">
        <v>302</v>
      </c>
      <c r="E141" s="11"/>
      <c r="F141" s="11" t="s">
        <v>78</v>
      </c>
      <c r="G141" s="44">
        <v>76.24</v>
      </c>
      <c r="H141" s="101">
        <v>0</v>
      </c>
      <c r="I141" s="86"/>
    </row>
    <row r="142" spans="1:9" ht="12" customHeight="1">
      <c r="A142" s="86"/>
      <c r="D142" s="97" t="s">
        <v>439</v>
      </c>
      <c r="E142" s="97"/>
      <c r="F142" s="97"/>
      <c r="G142" s="98">
        <v>76.24</v>
      </c>
      <c r="H142" s="99"/>
      <c r="I142" s="86"/>
    </row>
    <row r="143" spans="1:9" ht="12.75">
      <c r="A143" s="100" t="s">
        <v>137</v>
      </c>
      <c r="B143" s="11"/>
      <c r="C143" s="11" t="s">
        <v>305</v>
      </c>
      <c r="D143" s="11" t="s">
        <v>306</v>
      </c>
      <c r="E143" s="11"/>
      <c r="F143" s="11" t="s">
        <v>158</v>
      </c>
      <c r="G143" s="44">
        <v>20</v>
      </c>
      <c r="H143" s="101">
        <v>0</v>
      </c>
      <c r="I143" s="86"/>
    </row>
    <row r="144" spans="1:9" ht="12" customHeight="1">
      <c r="A144" s="86"/>
      <c r="D144" s="97" t="s">
        <v>132</v>
      </c>
      <c r="E144" s="97"/>
      <c r="F144" s="97"/>
      <c r="G144" s="98">
        <v>20</v>
      </c>
      <c r="H144" s="99"/>
      <c r="I144" s="86"/>
    </row>
    <row r="145" spans="1:9" ht="12.75">
      <c r="A145" s="100" t="s">
        <v>304</v>
      </c>
      <c r="B145" s="11"/>
      <c r="C145" s="11" t="s">
        <v>308</v>
      </c>
      <c r="D145" s="11" t="s">
        <v>309</v>
      </c>
      <c r="E145" s="11"/>
      <c r="F145" s="11" t="s">
        <v>78</v>
      </c>
      <c r="G145" s="44">
        <v>76.24</v>
      </c>
      <c r="H145" s="101">
        <v>0</v>
      </c>
      <c r="I145" s="86"/>
    </row>
    <row r="146" spans="1:9" ht="12" customHeight="1">
      <c r="A146" s="86"/>
      <c r="D146" s="97" t="s">
        <v>440</v>
      </c>
      <c r="E146" s="97"/>
      <c r="F146" s="97"/>
      <c r="G146" s="98">
        <v>76.24</v>
      </c>
      <c r="H146" s="99"/>
      <c r="I146" s="86"/>
    </row>
    <row r="147" spans="1:9" ht="12.75">
      <c r="A147" s="100" t="s">
        <v>307</v>
      </c>
      <c r="B147" s="11"/>
      <c r="C147" s="11" t="s">
        <v>311</v>
      </c>
      <c r="D147" s="11" t="s">
        <v>312</v>
      </c>
      <c r="E147" s="11"/>
      <c r="F147" s="11" t="s">
        <v>78</v>
      </c>
      <c r="G147" s="44">
        <v>76.24</v>
      </c>
      <c r="H147" s="101">
        <v>0</v>
      </c>
      <c r="I147" s="86"/>
    </row>
    <row r="148" spans="1:9" ht="12" customHeight="1">
      <c r="A148" s="86"/>
      <c r="D148" s="97" t="s">
        <v>440</v>
      </c>
      <c r="E148" s="97"/>
      <c r="F148" s="97"/>
      <c r="G148" s="98">
        <v>76.24</v>
      </c>
      <c r="H148" s="99"/>
      <c r="I148" s="86"/>
    </row>
    <row r="149" spans="1:9" ht="12.75">
      <c r="A149" s="100" t="s">
        <v>310</v>
      </c>
      <c r="B149" s="11"/>
      <c r="C149" s="11" t="s">
        <v>314</v>
      </c>
      <c r="D149" s="11" t="s">
        <v>315</v>
      </c>
      <c r="E149" s="11"/>
      <c r="F149" s="11" t="s">
        <v>78</v>
      </c>
      <c r="G149" s="44">
        <v>76.24</v>
      </c>
      <c r="H149" s="101">
        <v>0</v>
      </c>
      <c r="I149" s="86"/>
    </row>
    <row r="150" spans="1:9" ht="12" customHeight="1">
      <c r="A150" s="86"/>
      <c r="D150" s="97" t="s">
        <v>440</v>
      </c>
      <c r="E150" s="97"/>
      <c r="F150" s="97"/>
      <c r="G150" s="98">
        <v>76.24</v>
      </c>
      <c r="H150" s="99"/>
      <c r="I150" s="86"/>
    </row>
    <row r="151" spans="1:9" ht="12.75">
      <c r="A151" s="100" t="s">
        <v>313</v>
      </c>
      <c r="B151" s="11"/>
      <c r="C151" s="11" t="s">
        <v>319</v>
      </c>
      <c r="D151" s="11" t="s">
        <v>320</v>
      </c>
      <c r="E151" s="11"/>
      <c r="F151" s="11" t="s">
        <v>170</v>
      </c>
      <c r="G151" s="44">
        <v>3</v>
      </c>
      <c r="H151" s="101">
        <v>0</v>
      </c>
      <c r="I151" s="86"/>
    </row>
    <row r="152" spans="1:9" ht="12" customHeight="1">
      <c r="A152" s="86"/>
      <c r="D152" s="97" t="s">
        <v>441</v>
      </c>
      <c r="E152" s="97"/>
      <c r="F152" s="97"/>
      <c r="G152" s="98">
        <v>3</v>
      </c>
      <c r="H152" s="99"/>
      <c r="I152" s="86"/>
    </row>
    <row r="153" spans="1:9" ht="12.75">
      <c r="A153" s="100" t="s">
        <v>318</v>
      </c>
      <c r="B153" s="11"/>
      <c r="C153" s="11" t="s">
        <v>324</v>
      </c>
      <c r="D153" s="11" t="s">
        <v>325</v>
      </c>
      <c r="E153" s="11"/>
      <c r="F153" s="11" t="s">
        <v>170</v>
      </c>
      <c r="G153" s="44">
        <v>1</v>
      </c>
      <c r="H153" s="101">
        <v>0</v>
      </c>
      <c r="I153" s="86"/>
    </row>
    <row r="154" spans="1:9" ht="12" customHeight="1">
      <c r="A154" s="86"/>
      <c r="D154" s="97" t="s">
        <v>49</v>
      </c>
      <c r="E154" s="97"/>
      <c r="F154" s="97"/>
      <c r="G154" s="98">
        <v>1</v>
      </c>
      <c r="H154" s="99"/>
      <c r="I154" s="86"/>
    </row>
    <row r="155" spans="1:9" ht="12.75">
      <c r="A155" s="100" t="s">
        <v>323</v>
      </c>
      <c r="B155" s="11"/>
      <c r="C155" s="11" t="s">
        <v>336</v>
      </c>
      <c r="D155" s="11" t="s">
        <v>337</v>
      </c>
      <c r="E155" s="11"/>
      <c r="F155" s="11" t="s">
        <v>78</v>
      </c>
      <c r="G155" s="44">
        <v>80</v>
      </c>
      <c r="H155" s="101">
        <v>0</v>
      </c>
      <c r="I155" s="86"/>
    </row>
    <row r="156" spans="1:9" ht="12" customHeight="1">
      <c r="A156" s="86"/>
      <c r="D156" s="97" t="s">
        <v>378</v>
      </c>
      <c r="E156" s="97"/>
      <c r="F156" s="97"/>
      <c r="G156" s="98">
        <v>80</v>
      </c>
      <c r="H156" s="99"/>
      <c r="I156" s="86"/>
    </row>
    <row r="157" spans="1:9" ht="12.75">
      <c r="A157" s="100" t="s">
        <v>328</v>
      </c>
      <c r="B157" s="11"/>
      <c r="C157" s="11" t="s">
        <v>342</v>
      </c>
      <c r="D157" s="11" t="s">
        <v>343</v>
      </c>
      <c r="E157" s="11"/>
      <c r="F157" s="11" t="s">
        <v>78</v>
      </c>
      <c r="G157" s="44">
        <v>100</v>
      </c>
      <c r="H157" s="101">
        <v>0</v>
      </c>
      <c r="I157" s="86"/>
    </row>
    <row r="158" spans="1:9" ht="12" customHeight="1">
      <c r="A158" s="86"/>
      <c r="D158" s="97" t="s">
        <v>442</v>
      </c>
      <c r="E158" s="97"/>
      <c r="F158" s="97"/>
      <c r="G158" s="98">
        <v>100</v>
      </c>
      <c r="H158" s="99"/>
      <c r="I158" s="86"/>
    </row>
    <row r="159" spans="1:9" ht="12.75">
      <c r="A159" s="100" t="s">
        <v>335</v>
      </c>
      <c r="B159" s="11"/>
      <c r="C159" s="11" t="s">
        <v>346</v>
      </c>
      <c r="D159" s="11" t="s">
        <v>347</v>
      </c>
      <c r="E159" s="11"/>
      <c r="F159" s="11" t="s">
        <v>78</v>
      </c>
      <c r="G159" s="44">
        <v>1000</v>
      </c>
      <c r="H159" s="101">
        <v>0</v>
      </c>
      <c r="I159" s="86"/>
    </row>
    <row r="160" spans="1:9" ht="12" customHeight="1">
      <c r="A160" s="86"/>
      <c r="D160" s="97" t="s">
        <v>443</v>
      </c>
      <c r="E160" s="97"/>
      <c r="F160" s="97"/>
      <c r="G160" s="98">
        <v>1000</v>
      </c>
      <c r="H160" s="99"/>
      <c r="I160" s="86"/>
    </row>
    <row r="161" spans="1:9" ht="12.75">
      <c r="A161" s="100" t="s">
        <v>341</v>
      </c>
      <c r="B161" s="11"/>
      <c r="C161" s="11" t="s">
        <v>351</v>
      </c>
      <c r="D161" s="11" t="s">
        <v>352</v>
      </c>
      <c r="E161" s="11"/>
      <c r="F161" s="11" t="s">
        <v>52</v>
      </c>
      <c r="G161" s="44">
        <v>7.488</v>
      </c>
      <c r="H161" s="101">
        <v>0</v>
      </c>
      <c r="I161" s="86"/>
    </row>
    <row r="162" spans="1:9" ht="12" customHeight="1">
      <c r="A162" s="86"/>
      <c r="D162" s="97" t="s">
        <v>428</v>
      </c>
      <c r="E162" s="97"/>
      <c r="F162" s="97"/>
      <c r="G162" s="98">
        <v>3.744</v>
      </c>
      <c r="H162" s="99"/>
      <c r="I162" s="86"/>
    </row>
    <row r="163" spans="1:9" ht="12" customHeight="1">
      <c r="A163" s="100"/>
      <c r="B163" s="11"/>
      <c r="C163" s="11"/>
      <c r="D163" s="97" t="s">
        <v>428</v>
      </c>
      <c r="E163" s="97"/>
      <c r="F163" s="97"/>
      <c r="G163" s="98">
        <v>3.744</v>
      </c>
      <c r="H163" s="102"/>
      <c r="I163" s="86"/>
    </row>
    <row r="164" spans="1:9" ht="12.75">
      <c r="A164" s="100" t="s">
        <v>345</v>
      </c>
      <c r="B164" s="11"/>
      <c r="C164" s="11" t="s">
        <v>358</v>
      </c>
      <c r="D164" s="11" t="s">
        <v>359</v>
      </c>
      <c r="E164" s="11"/>
      <c r="F164" s="11" t="s">
        <v>158</v>
      </c>
      <c r="G164" s="44">
        <v>72</v>
      </c>
      <c r="H164" s="101">
        <v>0</v>
      </c>
      <c r="I164" s="86"/>
    </row>
    <row r="165" spans="1:9" ht="12" customHeight="1">
      <c r="A165" s="86"/>
      <c r="D165" s="97" t="s">
        <v>444</v>
      </c>
      <c r="E165" s="97"/>
      <c r="F165" s="97"/>
      <c r="G165" s="98">
        <v>72</v>
      </c>
      <c r="H165" s="99"/>
      <c r="I165" s="86"/>
    </row>
    <row r="166" spans="1:9" ht="12.75">
      <c r="A166" s="100" t="s">
        <v>350</v>
      </c>
      <c r="B166" s="11"/>
      <c r="C166" s="11" t="s">
        <v>362</v>
      </c>
      <c r="D166" s="11" t="s">
        <v>363</v>
      </c>
      <c r="E166" s="11"/>
      <c r="F166" s="11" t="s">
        <v>170</v>
      </c>
      <c r="G166" s="44">
        <v>14</v>
      </c>
      <c r="H166" s="101">
        <v>0</v>
      </c>
      <c r="I166" s="86"/>
    </row>
    <row r="167" spans="1:9" ht="12" customHeight="1">
      <c r="A167" s="86"/>
      <c r="D167" s="97" t="s">
        <v>49</v>
      </c>
      <c r="E167" s="97"/>
      <c r="F167" s="97"/>
      <c r="G167" s="98">
        <v>1</v>
      </c>
      <c r="H167" s="99"/>
      <c r="I167" s="86"/>
    </row>
    <row r="168" spans="1:9" ht="12" customHeight="1">
      <c r="A168" s="100"/>
      <c r="B168" s="11"/>
      <c r="C168" s="11"/>
      <c r="D168" s="97" t="s">
        <v>58</v>
      </c>
      <c r="E168" s="97"/>
      <c r="F168" s="97"/>
      <c r="G168" s="98">
        <v>13</v>
      </c>
      <c r="H168" s="102"/>
      <c r="I168" s="86"/>
    </row>
    <row r="169" spans="1:9" ht="12.75">
      <c r="A169" s="100" t="s">
        <v>357</v>
      </c>
      <c r="B169" s="11"/>
      <c r="C169" s="11" t="s">
        <v>365</v>
      </c>
      <c r="D169" s="11" t="s">
        <v>366</v>
      </c>
      <c r="E169" s="11"/>
      <c r="F169" s="11" t="s">
        <v>158</v>
      </c>
      <c r="G169" s="44">
        <v>27</v>
      </c>
      <c r="H169" s="101">
        <v>0</v>
      </c>
      <c r="I169" s="86"/>
    </row>
    <row r="170" spans="1:9" ht="12" customHeight="1">
      <c r="A170" s="86"/>
      <c r="D170" s="97" t="s">
        <v>427</v>
      </c>
      <c r="E170" s="97"/>
      <c r="F170" s="97"/>
      <c r="G170" s="98">
        <v>27</v>
      </c>
      <c r="H170" s="99"/>
      <c r="I170" s="86"/>
    </row>
    <row r="171" spans="1:9" ht="12.75">
      <c r="A171" s="100" t="s">
        <v>361</v>
      </c>
      <c r="B171" s="11"/>
      <c r="C171" s="11" t="s">
        <v>368</v>
      </c>
      <c r="D171" s="11" t="s">
        <v>369</v>
      </c>
      <c r="E171" s="11"/>
      <c r="F171" s="11" t="s">
        <v>78</v>
      </c>
      <c r="G171" s="44">
        <v>24</v>
      </c>
      <c r="H171" s="101">
        <v>0</v>
      </c>
      <c r="I171" s="86"/>
    </row>
    <row r="172" spans="1:9" ht="12" customHeight="1">
      <c r="A172" s="86"/>
      <c r="D172" s="97" t="s">
        <v>155</v>
      </c>
      <c r="E172" s="97"/>
      <c r="F172" s="97"/>
      <c r="G172" s="98">
        <v>24</v>
      </c>
      <c r="H172" s="99"/>
      <c r="I172" s="86"/>
    </row>
    <row r="173" spans="1:9" ht="12.75">
      <c r="A173" s="100" t="s">
        <v>364</v>
      </c>
      <c r="B173" s="11"/>
      <c r="C173" s="11" t="s">
        <v>373</v>
      </c>
      <c r="D173" s="11" t="s">
        <v>374</v>
      </c>
      <c r="E173" s="11"/>
      <c r="F173" s="11" t="s">
        <v>99</v>
      </c>
      <c r="G173" s="44">
        <v>81</v>
      </c>
      <c r="H173" s="101">
        <v>0</v>
      </c>
      <c r="I173" s="86"/>
    </row>
    <row r="174" spans="1:9" ht="12" customHeight="1">
      <c r="A174" s="86"/>
      <c r="D174" s="97" t="s">
        <v>445</v>
      </c>
      <c r="E174" s="97"/>
      <c r="F174" s="97"/>
      <c r="G174" s="98">
        <v>81</v>
      </c>
      <c r="H174" s="99"/>
      <c r="I174" s="86"/>
    </row>
    <row r="175" spans="1:9" ht="12.75">
      <c r="A175" s="100" t="s">
        <v>367</v>
      </c>
      <c r="B175" s="11"/>
      <c r="C175" s="11" t="s">
        <v>379</v>
      </c>
      <c r="D175" s="11" t="s">
        <v>380</v>
      </c>
      <c r="E175" s="11"/>
      <c r="F175" s="11" t="s">
        <v>170</v>
      </c>
      <c r="G175" s="44">
        <v>1</v>
      </c>
      <c r="H175" s="101">
        <v>0</v>
      </c>
      <c r="I175" s="86"/>
    </row>
    <row r="176" spans="1:9" ht="12" customHeight="1">
      <c r="A176" s="86"/>
      <c r="D176" s="97" t="s">
        <v>49</v>
      </c>
      <c r="E176" s="97"/>
      <c r="F176" s="97"/>
      <c r="G176" s="98">
        <v>1</v>
      </c>
      <c r="H176" s="99"/>
      <c r="I176" s="86"/>
    </row>
    <row r="177" spans="1:9" ht="12.75">
      <c r="A177" s="100" t="s">
        <v>372</v>
      </c>
      <c r="B177" s="11"/>
      <c r="C177" s="11" t="s">
        <v>388</v>
      </c>
      <c r="D177" s="11" t="s">
        <v>389</v>
      </c>
      <c r="E177" s="11"/>
      <c r="F177" s="11" t="s">
        <v>99</v>
      </c>
      <c r="G177" s="44">
        <v>26</v>
      </c>
      <c r="H177" s="101">
        <v>0</v>
      </c>
      <c r="I177" s="86"/>
    </row>
    <row r="178" spans="1:9" ht="12" customHeight="1">
      <c r="A178" s="86"/>
      <c r="D178" s="97" t="s">
        <v>164</v>
      </c>
      <c r="E178" s="97"/>
      <c r="F178" s="97"/>
      <c r="G178" s="98">
        <v>26</v>
      </c>
      <c r="H178" s="99"/>
      <c r="I178" s="86"/>
    </row>
    <row r="179" spans="1:9" ht="12.75">
      <c r="A179" s="100" t="s">
        <v>378</v>
      </c>
      <c r="B179" s="11"/>
      <c r="C179" s="11" t="s">
        <v>392</v>
      </c>
      <c r="D179" s="11" t="s">
        <v>393</v>
      </c>
      <c r="E179" s="11"/>
      <c r="F179" s="11" t="s">
        <v>99</v>
      </c>
      <c r="G179" s="44">
        <v>78</v>
      </c>
      <c r="H179" s="101">
        <v>0</v>
      </c>
      <c r="I179" s="86"/>
    </row>
    <row r="180" spans="1:9" ht="12" customHeight="1">
      <c r="A180" s="86"/>
      <c r="D180" s="97" t="s">
        <v>446</v>
      </c>
      <c r="E180" s="97"/>
      <c r="F180" s="97"/>
      <c r="G180" s="98">
        <v>78</v>
      </c>
      <c r="H180" s="99"/>
      <c r="I180" s="86"/>
    </row>
    <row r="181" spans="1:9" ht="12.75">
      <c r="A181" s="100" t="s">
        <v>382</v>
      </c>
      <c r="B181" s="11"/>
      <c r="C181" s="11" t="s">
        <v>395</v>
      </c>
      <c r="D181" s="11" t="s">
        <v>396</v>
      </c>
      <c r="E181" s="11"/>
      <c r="F181" s="11" t="s">
        <v>99</v>
      </c>
      <c r="G181" s="44">
        <v>26</v>
      </c>
      <c r="H181" s="101">
        <v>0</v>
      </c>
      <c r="I181" s="86"/>
    </row>
    <row r="182" spans="1:9" ht="12" customHeight="1">
      <c r="A182" s="86"/>
      <c r="D182" s="97" t="s">
        <v>164</v>
      </c>
      <c r="E182" s="97"/>
      <c r="F182" s="97"/>
      <c r="G182" s="98">
        <v>26</v>
      </c>
      <c r="H182" s="99"/>
      <c r="I182" s="86"/>
    </row>
    <row r="183" spans="1:9" ht="12.75">
      <c r="A183" s="100" t="s">
        <v>387</v>
      </c>
      <c r="B183" s="11"/>
      <c r="C183" s="11" t="s">
        <v>398</v>
      </c>
      <c r="D183" s="11" t="s">
        <v>399</v>
      </c>
      <c r="E183" s="11"/>
      <c r="F183" s="11" t="s">
        <v>99</v>
      </c>
      <c r="G183" s="44">
        <v>650</v>
      </c>
      <c r="H183" s="101">
        <v>0</v>
      </c>
      <c r="I183" s="86"/>
    </row>
    <row r="184" spans="1:9" ht="12" customHeight="1">
      <c r="A184" s="86"/>
      <c r="D184" s="97" t="s">
        <v>447</v>
      </c>
      <c r="E184" s="97"/>
      <c r="F184" s="97"/>
      <c r="G184" s="98">
        <v>650</v>
      </c>
      <c r="H184" s="99"/>
      <c r="I184" s="86"/>
    </row>
    <row r="185" spans="1:9" ht="12.75">
      <c r="A185" s="100" t="s">
        <v>391</v>
      </c>
      <c r="B185" s="11"/>
      <c r="C185" s="11" t="s">
        <v>401</v>
      </c>
      <c r="D185" s="11" t="s">
        <v>402</v>
      </c>
      <c r="E185" s="11"/>
      <c r="F185" s="11" t="s">
        <v>99</v>
      </c>
      <c r="G185" s="44">
        <v>26</v>
      </c>
      <c r="H185" s="101">
        <v>0</v>
      </c>
      <c r="I185" s="86"/>
    </row>
    <row r="186" spans="1:9" ht="12" customHeight="1">
      <c r="A186" s="86"/>
      <c r="D186" s="97" t="s">
        <v>164</v>
      </c>
      <c r="E186" s="97"/>
      <c r="F186" s="97"/>
      <c r="G186" s="98">
        <v>26</v>
      </c>
      <c r="H186" s="99"/>
      <c r="I186" s="86"/>
    </row>
    <row r="187" spans="1:9" ht="12.75">
      <c r="A187" s="100" t="s">
        <v>394</v>
      </c>
      <c r="B187" s="11"/>
      <c r="C187" s="11" t="s">
        <v>404</v>
      </c>
      <c r="D187" s="11" t="s">
        <v>405</v>
      </c>
      <c r="E187" s="11"/>
      <c r="F187" s="11" t="s">
        <v>99</v>
      </c>
      <c r="G187" s="44">
        <v>26</v>
      </c>
      <c r="H187" s="101">
        <v>0</v>
      </c>
      <c r="I187" s="86"/>
    </row>
    <row r="188" spans="1:9" ht="12" customHeight="1">
      <c r="A188" s="86"/>
      <c r="D188" s="97" t="s">
        <v>164</v>
      </c>
      <c r="E188" s="97"/>
      <c r="F188" s="97"/>
      <c r="G188" s="98">
        <v>26</v>
      </c>
      <c r="H188" s="99"/>
      <c r="I188" s="86"/>
    </row>
    <row r="189" spans="1:9" ht="12.75">
      <c r="A189" s="100" t="s">
        <v>397</v>
      </c>
      <c r="B189" s="11"/>
      <c r="C189" s="11" t="s">
        <v>407</v>
      </c>
      <c r="D189" s="11" t="s">
        <v>408</v>
      </c>
      <c r="E189" s="11"/>
      <c r="F189" s="11" t="s">
        <v>99</v>
      </c>
      <c r="G189" s="44">
        <v>0.5</v>
      </c>
      <c r="H189" s="101">
        <v>0</v>
      </c>
      <c r="I189" s="86"/>
    </row>
    <row r="190" spans="1:9" ht="12" customHeight="1">
      <c r="A190" s="103"/>
      <c r="B190" s="104"/>
      <c r="C190" s="104"/>
      <c r="D190" s="105" t="s">
        <v>448</v>
      </c>
      <c r="E190" s="105"/>
      <c r="F190" s="105"/>
      <c r="G190" s="106">
        <v>0.5</v>
      </c>
      <c r="H190" s="107"/>
      <c r="I190" s="86"/>
    </row>
    <row r="191" spans="1:8" ht="12.75">
      <c r="A191" s="71"/>
      <c r="B191" s="71"/>
      <c r="C191" s="71"/>
      <c r="D191" s="71"/>
      <c r="E191" s="71"/>
      <c r="F191" s="71"/>
      <c r="G191" s="71"/>
      <c r="H191" s="71"/>
    </row>
    <row r="192" ht="11.25" customHeight="1">
      <c r="A192" s="108" t="s">
        <v>409</v>
      </c>
    </row>
    <row r="193" spans="1:7" ht="12.75" customHeight="1">
      <c r="A193" s="10" t="s">
        <v>449</v>
      </c>
      <c r="B193" s="10"/>
      <c r="C193" s="10"/>
      <c r="D193" s="10"/>
      <c r="E193" s="10"/>
      <c r="F193" s="10"/>
      <c r="G193" s="10"/>
    </row>
  </sheetData>
  <sheetProtection sheet="1"/>
  <mergeCells count="199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D11:E11"/>
    <mergeCell ref="E12:F12"/>
    <mergeCell ref="D13:E13"/>
    <mergeCell ref="E14:F14"/>
    <mergeCell ref="D15:E15"/>
    <mergeCell ref="E16:F16"/>
    <mergeCell ref="D17:E17"/>
    <mergeCell ref="E18:F18"/>
    <mergeCell ref="D19:E19"/>
    <mergeCell ref="E20:F20"/>
    <mergeCell ref="D21:E21"/>
    <mergeCell ref="E22:F22"/>
    <mergeCell ref="D23:E23"/>
    <mergeCell ref="E24:F24"/>
    <mergeCell ref="D25:E25"/>
    <mergeCell ref="E26:F26"/>
    <mergeCell ref="D27:E27"/>
    <mergeCell ref="E28:F28"/>
    <mergeCell ref="D29:E29"/>
    <mergeCell ref="E30:F30"/>
    <mergeCell ref="D31:E31"/>
    <mergeCell ref="E32:F32"/>
    <mergeCell ref="D33:E33"/>
    <mergeCell ref="E34:F34"/>
    <mergeCell ref="D35:E35"/>
    <mergeCell ref="E36:F36"/>
    <mergeCell ref="D37:E37"/>
    <mergeCell ref="E38:F38"/>
    <mergeCell ref="D39:E39"/>
    <mergeCell ref="E40:F40"/>
    <mergeCell ref="D41:E41"/>
    <mergeCell ref="E42:F42"/>
    <mergeCell ref="D43:E43"/>
    <mergeCell ref="E44:F44"/>
    <mergeCell ref="D45:E45"/>
    <mergeCell ref="E46:F46"/>
    <mergeCell ref="D47:E47"/>
    <mergeCell ref="E48:F48"/>
    <mergeCell ref="D49:E49"/>
    <mergeCell ref="E50:F50"/>
    <mergeCell ref="D51:E51"/>
    <mergeCell ref="E52:F52"/>
    <mergeCell ref="E53:F53"/>
    <mergeCell ref="D54:E54"/>
    <mergeCell ref="E55:F55"/>
    <mergeCell ref="E56:F56"/>
    <mergeCell ref="D57:E57"/>
    <mergeCell ref="E58:F58"/>
    <mergeCell ref="D59:E59"/>
    <mergeCell ref="E60:F60"/>
    <mergeCell ref="D61:E61"/>
    <mergeCell ref="E62:F62"/>
    <mergeCell ref="D63:E63"/>
    <mergeCell ref="E64:F64"/>
    <mergeCell ref="D65:E65"/>
    <mergeCell ref="E66:F66"/>
    <mergeCell ref="D67:E67"/>
    <mergeCell ref="E68:F68"/>
    <mergeCell ref="D69:E69"/>
    <mergeCell ref="E70:F70"/>
    <mergeCell ref="D71:E71"/>
    <mergeCell ref="E72:F72"/>
    <mergeCell ref="D73:E73"/>
    <mergeCell ref="E74:F74"/>
    <mergeCell ref="D75:E75"/>
    <mergeCell ref="E76:F76"/>
    <mergeCell ref="D77:E77"/>
    <mergeCell ref="E78:F78"/>
    <mergeCell ref="D79:E79"/>
    <mergeCell ref="E80:F80"/>
    <mergeCell ref="D81:E81"/>
    <mergeCell ref="D82:E82"/>
    <mergeCell ref="E83:F83"/>
    <mergeCell ref="D84:E84"/>
    <mergeCell ref="E85:F85"/>
    <mergeCell ref="D86:E86"/>
    <mergeCell ref="E87:F87"/>
    <mergeCell ref="D88:E88"/>
    <mergeCell ref="E89:F89"/>
    <mergeCell ref="D90:E90"/>
    <mergeCell ref="E91:F91"/>
    <mergeCell ref="D92:E92"/>
    <mergeCell ref="E93:F93"/>
    <mergeCell ref="D94:E94"/>
    <mergeCell ref="E95:F95"/>
    <mergeCell ref="D96:E96"/>
    <mergeCell ref="E97:F97"/>
    <mergeCell ref="D98:E98"/>
    <mergeCell ref="E99:F99"/>
    <mergeCell ref="E100:F100"/>
    <mergeCell ref="D101:E101"/>
    <mergeCell ref="E102:F102"/>
    <mergeCell ref="E103:F103"/>
    <mergeCell ref="D104:E104"/>
    <mergeCell ref="E105:F105"/>
    <mergeCell ref="E106:F106"/>
    <mergeCell ref="D107:E107"/>
    <mergeCell ref="E108:F108"/>
    <mergeCell ref="E109:F109"/>
    <mergeCell ref="D110:E110"/>
    <mergeCell ref="E111:F111"/>
    <mergeCell ref="E112:F112"/>
    <mergeCell ref="D113:E113"/>
    <mergeCell ref="E114:F114"/>
    <mergeCell ref="E115:F115"/>
    <mergeCell ref="D116:E116"/>
    <mergeCell ref="E117:F117"/>
    <mergeCell ref="D118:E118"/>
    <mergeCell ref="E119:F119"/>
    <mergeCell ref="D120:E120"/>
    <mergeCell ref="E121:F121"/>
    <mergeCell ref="D122:E122"/>
    <mergeCell ref="E123:F123"/>
    <mergeCell ref="D124:E124"/>
    <mergeCell ref="E125:F125"/>
    <mergeCell ref="D126:E126"/>
    <mergeCell ref="E127:F127"/>
    <mergeCell ref="D128:E128"/>
    <mergeCell ref="E129:F129"/>
    <mergeCell ref="D130:E130"/>
    <mergeCell ref="E131:F131"/>
    <mergeCell ref="D132:E132"/>
    <mergeCell ref="E133:F133"/>
    <mergeCell ref="D134:E134"/>
    <mergeCell ref="E135:F135"/>
    <mergeCell ref="D136:E136"/>
    <mergeCell ref="E137:F137"/>
    <mergeCell ref="D138:E138"/>
    <mergeCell ref="E139:F139"/>
    <mergeCell ref="E140:F140"/>
    <mergeCell ref="D141:E141"/>
    <mergeCell ref="E142:F142"/>
    <mergeCell ref="D143:E143"/>
    <mergeCell ref="E144:F144"/>
    <mergeCell ref="D145:E145"/>
    <mergeCell ref="E146:F146"/>
    <mergeCell ref="D147:E147"/>
    <mergeCell ref="E148:F148"/>
    <mergeCell ref="D149:E149"/>
    <mergeCell ref="E150:F150"/>
    <mergeCell ref="D151:E151"/>
    <mergeCell ref="E152:F152"/>
    <mergeCell ref="D153:E153"/>
    <mergeCell ref="E154:F154"/>
    <mergeCell ref="D155:E155"/>
    <mergeCell ref="E156:F156"/>
    <mergeCell ref="D157:E157"/>
    <mergeCell ref="E158:F158"/>
    <mergeCell ref="D159:E159"/>
    <mergeCell ref="E160:F160"/>
    <mergeCell ref="D161:E161"/>
    <mergeCell ref="E162:F162"/>
    <mergeCell ref="E163:F163"/>
    <mergeCell ref="D164:E164"/>
    <mergeCell ref="E165:F165"/>
    <mergeCell ref="D166:E166"/>
    <mergeCell ref="E167:F167"/>
    <mergeCell ref="E168:F168"/>
    <mergeCell ref="D169:E169"/>
    <mergeCell ref="E170:F170"/>
    <mergeCell ref="D171:E171"/>
    <mergeCell ref="E172:F172"/>
    <mergeCell ref="D173:E173"/>
    <mergeCell ref="E174:F174"/>
    <mergeCell ref="D175:E175"/>
    <mergeCell ref="E176:F176"/>
    <mergeCell ref="D177:E177"/>
    <mergeCell ref="E178:F178"/>
    <mergeCell ref="D179:E179"/>
    <mergeCell ref="E180:F180"/>
    <mergeCell ref="D181:E181"/>
    <mergeCell ref="E182:F182"/>
    <mergeCell ref="D183:E183"/>
    <mergeCell ref="E184:F184"/>
    <mergeCell ref="D185:E185"/>
    <mergeCell ref="E186:F186"/>
    <mergeCell ref="D187:E187"/>
    <mergeCell ref="E188:F188"/>
    <mergeCell ref="D189:E189"/>
    <mergeCell ref="E190:F190"/>
    <mergeCell ref="A193:G19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0">
      <selection activeCell="F23" sqref="F23"/>
    </sheetView>
  </sheetViews>
  <sheetFormatPr defaultColWidth="12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5.57421875" style="1" customWidth="1"/>
    <col min="9" max="9" width="41.140625" style="1" customWidth="1"/>
    <col min="10" max="16384" width="11.57421875" style="1" customWidth="1"/>
  </cols>
  <sheetData>
    <row r="1" spans="1:9" ht="40.5" customHeight="1">
      <c r="A1" s="109"/>
      <c r="B1" s="110"/>
      <c r="C1" s="111" t="s">
        <v>450</v>
      </c>
      <c r="D1" s="111"/>
      <c r="E1" s="111"/>
      <c r="F1" s="111"/>
      <c r="G1" s="111"/>
      <c r="H1" s="111"/>
      <c r="I1" s="111"/>
    </row>
    <row r="2" spans="1:10" ht="12.75" customHeight="1">
      <c r="A2" s="3" t="s">
        <v>1</v>
      </c>
      <c r="B2" s="3"/>
      <c r="C2" s="4">
        <f>'Stavební rozpočet'!C2</f>
        <v>0</v>
      </c>
      <c r="D2" s="4"/>
      <c r="E2" s="6" t="s">
        <v>5</v>
      </c>
      <c r="F2" s="6">
        <f>'Stavební rozpočet'!I2</f>
        <v>0</v>
      </c>
      <c r="G2" s="6"/>
      <c r="H2" s="6" t="s">
        <v>451</v>
      </c>
      <c r="I2" s="112" t="s">
        <v>452</v>
      </c>
      <c r="J2" s="8"/>
    </row>
    <row r="3" spans="1:10" ht="38.25" customHeight="1">
      <c r="A3" s="3"/>
      <c r="B3" s="3"/>
      <c r="C3" s="4"/>
      <c r="D3" s="4"/>
      <c r="E3" s="6"/>
      <c r="F3" s="6"/>
      <c r="G3" s="6"/>
      <c r="H3" s="6"/>
      <c r="I3" s="112"/>
      <c r="J3" s="8"/>
    </row>
    <row r="4" spans="1:10" ht="12.75" customHeight="1">
      <c r="A4" s="9" t="s">
        <v>7</v>
      </c>
      <c r="B4" s="9"/>
      <c r="C4" s="10">
        <f>'Stavební rozpočet'!C4</f>
        <v>0</v>
      </c>
      <c r="D4" s="10"/>
      <c r="E4" s="10" t="s">
        <v>10</v>
      </c>
      <c r="F4" s="10">
        <f>'Stavební rozpočet'!I4</f>
        <v>0</v>
      </c>
      <c r="G4" s="10"/>
      <c r="H4" s="10" t="s">
        <v>451</v>
      </c>
      <c r="I4" s="113" t="s">
        <v>453</v>
      </c>
      <c r="J4" s="8"/>
    </row>
    <row r="5" spans="1:10" ht="12.75">
      <c r="A5" s="9"/>
      <c r="B5" s="9"/>
      <c r="C5" s="10"/>
      <c r="D5" s="10"/>
      <c r="E5" s="10"/>
      <c r="F5" s="10"/>
      <c r="G5" s="10"/>
      <c r="H5" s="10"/>
      <c r="I5" s="113"/>
      <c r="J5" s="8"/>
    </row>
    <row r="6" spans="1:10" ht="12.75" customHeight="1">
      <c r="A6" s="9" t="s">
        <v>12</v>
      </c>
      <c r="B6" s="9"/>
      <c r="C6" s="10">
        <f>'Stavební rozpočet'!C6</f>
        <v>0</v>
      </c>
      <c r="D6" s="10"/>
      <c r="E6" s="10" t="s">
        <v>15</v>
      </c>
      <c r="F6" s="10">
        <f>'Stavební rozpočet'!I6</f>
        <v>0</v>
      </c>
      <c r="G6" s="10"/>
      <c r="H6" s="10" t="s">
        <v>451</v>
      </c>
      <c r="I6" s="113"/>
      <c r="J6" s="8"/>
    </row>
    <row r="7" spans="1:10" ht="25.5" customHeight="1">
      <c r="A7" s="9"/>
      <c r="B7" s="9"/>
      <c r="C7" s="10"/>
      <c r="D7" s="10"/>
      <c r="E7" s="10"/>
      <c r="F7" s="10"/>
      <c r="G7" s="10"/>
      <c r="H7" s="10"/>
      <c r="I7" s="113"/>
      <c r="J7" s="8"/>
    </row>
    <row r="8" spans="1:10" ht="12.75" customHeight="1">
      <c r="A8" s="9" t="s">
        <v>9</v>
      </c>
      <c r="B8" s="9"/>
      <c r="C8" s="10">
        <f>'Stavební rozpočet'!G4</f>
        <v>0</v>
      </c>
      <c r="D8" s="10"/>
      <c r="E8" s="10" t="s">
        <v>14</v>
      </c>
      <c r="F8" s="10">
        <f>'Stavební rozpočet'!G6</f>
        <v>0</v>
      </c>
      <c r="G8" s="10"/>
      <c r="H8" s="11" t="s">
        <v>454</v>
      </c>
      <c r="I8" s="113" t="s">
        <v>406</v>
      </c>
      <c r="J8" s="8"/>
    </row>
    <row r="9" spans="1:10" ht="12.75">
      <c r="A9" s="9"/>
      <c r="B9" s="9"/>
      <c r="C9" s="10"/>
      <c r="D9" s="10"/>
      <c r="E9" s="10"/>
      <c r="F9" s="10"/>
      <c r="G9" s="10"/>
      <c r="H9" s="11"/>
      <c r="I9" s="113"/>
      <c r="J9" s="8"/>
    </row>
    <row r="10" spans="1:10" ht="12.75" customHeight="1">
      <c r="A10" s="114" t="s">
        <v>17</v>
      </c>
      <c r="B10" s="114"/>
      <c r="C10" s="115">
        <f>'Stavební rozpočet'!C8</f>
        <v>0</v>
      </c>
      <c r="D10" s="115"/>
      <c r="E10" s="115" t="s">
        <v>20</v>
      </c>
      <c r="F10" s="115">
        <f>'Stavební rozpočet'!I8</f>
        <v>0</v>
      </c>
      <c r="G10" s="115"/>
      <c r="H10" s="65" t="s">
        <v>455</v>
      </c>
      <c r="I10" s="116">
        <f>'Stavební rozpočet'!G8</f>
        <v>0</v>
      </c>
      <c r="J10" s="8"/>
    </row>
    <row r="11" spans="1:10" ht="12.75">
      <c r="A11" s="114"/>
      <c r="B11" s="114"/>
      <c r="C11" s="115"/>
      <c r="D11" s="115"/>
      <c r="E11" s="115"/>
      <c r="F11" s="115"/>
      <c r="G11" s="115"/>
      <c r="H11" s="65"/>
      <c r="I11" s="116"/>
      <c r="J11" s="8"/>
    </row>
    <row r="12" spans="1:9" ht="23.25" customHeight="1">
      <c r="A12" s="117" t="s">
        <v>456</v>
      </c>
      <c r="B12" s="117"/>
      <c r="C12" s="117"/>
      <c r="D12" s="117"/>
      <c r="E12" s="117"/>
      <c r="F12" s="117"/>
      <c r="G12" s="117"/>
      <c r="H12" s="117"/>
      <c r="I12" s="117"/>
    </row>
    <row r="13" spans="1:10" ht="26.25" customHeight="1">
      <c r="A13" s="118" t="s">
        <v>457</v>
      </c>
      <c r="B13" s="119" t="s">
        <v>458</v>
      </c>
      <c r="C13" s="119"/>
      <c r="D13" s="120" t="s">
        <v>459</v>
      </c>
      <c r="E13" s="119" t="s">
        <v>460</v>
      </c>
      <c r="F13" s="119"/>
      <c r="G13" s="120" t="s">
        <v>461</v>
      </c>
      <c r="H13" s="121" t="s">
        <v>462</v>
      </c>
      <c r="I13" s="121"/>
      <c r="J13" s="8"/>
    </row>
    <row r="14" spans="1:10" ht="15" customHeight="1">
      <c r="A14" s="122" t="s">
        <v>463</v>
      </c>
      <c r="B14" s="123" t="s">
        <v>464</v>
      </c>
      <c r="C14" s="124">
        <f>SUM('Stavební rozpočet'!AB12:AB126)</f>
        <v>0</v>
      </c>
      <c r="D14" s="123" t="s">
        <v>465</v>
      </c>
      <c r="E14" s="123"/>
      <c r="F14" s="124">
        <f>VORN!I15</f>
        <v>0</v>
      </c>
      <c r="G14" s="123" t="s">
        <v>466</v>
      </c>
      <c r="H14" s="123"/>
      <c r="I14" s="125">
        <f>VORN!I21</f>
        <v>0</v>
      </c>
      <c r="J14" s="8"/>
    </row>
    <row r="15" spans="1:10" ht="15" customHeight="1">
      <c r="A15" s="126"/>
      <c r="B15" s="123" t="s">
        <v>467</v>
      </c>
      <c r="C15" s="124">
        <f>SUM('Stavební rozpočet'!AC12:AC126)</f>
        <v>0</v>
      </c>
      <c r="D15" s="123" t="s">
        <v>468</v>
      </c>
      <c r="E15" s="123"/>
      <c r="F15" s="124">
        <f>VORN!I16</f>
        <v>0</v>
      </c>
      <c r="G15" s="123" t="s">
        <v>469</v>
      </c>
      <c r="H15" s="123"/>
      <c r="I15" s="125">
        <f>VORN!I22</f>
        <v>0</v>
      </c>
      <c r="J15" s="8"/>
    </row>
    <row r="16" spans="1:10" ht="15" customHeight="1">
      <c r="A16" s="122" t="s">
        <v>470</v>
      </c>
      <c r="B16" s="123" t="s">
        <v>464</v>
      </c>
      <c r="C16" s="124">
        <f>SUM('Stavební rozpočet'!AD12:AD126)</f>
        <v>0</v>
      </c>
      <c r="D16" s="123" t="s">
        <v>471</v>
      </c>
      <c r="E16" s="123"/>
      <c r="F16" s="124">
        <f>VORN!I17</f>
        <v>0</v>
      </c>
      <c r="G16" s="123" t="s">
        <v>472</v>
      </c>
      <c r="H16" s="123"/>
      <c r="I16" s="125">
        <f>VORN!I23</f>
        <v>0</v>
      </c>
      <c r="J16" s="8"/>
    </row>
    <row r="17" spans="1:10" ht="15" customHeight="1">
      <c r="A17" s="126"/>
      <c r="B17" s="123" t="s">
        <v>467</v>
      </c>
      <c r="C17" s="124">
        <f>SUM('Stavební rozpočet'!AE12:AE126)</f>
        <v>0</v>
      </c>
      <c r="D17" s="123"/>
      <c r="E17" s="123"/>
      <c r="F17" s="127"/>
      <c r="G17" s="123" t="s">
        <v>473</v>
      </c>
      <c r="H17" s="123"/>
      <c r="I17" s="125">
        <f>VORN!I24</f>
        <v>0</v>
      </c>
      <c r="J17" s="8"/>
    </row>
    <row r="18" spans="1:10" ht="15" customHeight="1">
      <c r="A18" s="122" t="s">
        <v>474</v>
      </c>
      <c r="B18" s="123" t="s">
        <v>464</v>
      </c>
      <c r="C18" s="124">
        <f>SUM('Stavební rozpočet'!AF12:AF126)</f>
        <v>0</v>
      </c>
      <c r="D18" s="123"/>
      <c r="E18" s="123"/>
      <c r="F18" s="127"/>
      <c r="G18" s="123" t="s">
        <v>475</v>
      </c>
      <c r="H18" s="123"/>
      <c r="I18" s="125">
        <f>VORN!I25</f>
        <v>0</v>
      </c>
      <c r="J18" s="8"/>
    </row>
    <row r="19" spans="1:10" ht="15" customHeight="1">
      <c r="A19" s="126"/>
      <c r="B19" s="123" t="s">
        <v>467</v>
      </c>
      <c r="C19" s="124">
        <f>SUM('Stavební rozpočet'!AG12:AG126)</f>
        <v>0</v>
      </c>
      <c r="D19" s="123"/>
      <c r="E19" s="123"/>
      <c r="F19" s="127"/>
      <c r="G19" s="123" t="s">
        <v>476</v>
      </c>
      <c r="H19" s="123"/>
      <c r="I19" s="125">
        <f>VORN!I26</f>
        <v>0</v>
      </c>
      <c r="J19" s="8"/>
    </row>
    <row r="20" spans="1:10" ht="15" customHeight="1">
      <c r="A20" s="128" t="s">
        <v>477</v>
      </c>
      <c r="B20" s="128"/>
      <c r="C20" s="124">
        <f>SUM('Stavební rozpočet'!AH12:AH126)</f>
        <v>0</v>
      </c>
      <c r="D20" s="123"/>
      <c r="E20" s="123"/>
      <c r="F20" s="127"/>
      <c r="G20" s="123"/>
      <c r="H20" s="123"/>
      <c r="I20" s="129"/>
      <c r="J20" s="8"/>
    </row>
    <row r="21" spans="1:10" ht="15" customHeight="1">
      <c r="A21" s="128" t="s">
        <v>478</v>
      </c>
      <c r="B21" s="128"/>
      <c r="C21" s="124">
        <f>SUM('Stavební rozpočet'!Z12:Z126)</f>
        <v>0</v>
      </c>
      <c r="D21" s="123"/>
      <c r="E21" s="123"/>
      <c r="F21" s="127"/>
      <c r="G21" s="123"/>
      <c r="H21" s="123"/>
      <c r="I21" s="129"/>
      <c r="J21" s="8"/>
    </row>
    <row r="22" spans="1:10" ht="16.5" customHeight="1">
      <c r="A22" s="128" t="s">
        <v>479</v>
      </c>
      <c r="B22" s="128"/>
      <c r="C22" s="124">
        <f>SUM(C14:C21)</f>
        <v>0</v>
      </c>
      <c r="D22" s="130" t="s">
        <v>480</v>
      </c>
      <c r="E22" s="130"/>
      <c r="F22" s="124">
        <f>SUM(F14:F21)</f>
        <v>0</v>
      </c>
      <c r="G22" s="130" t="s">
        <v>481</v>
      </c>
      <c r="H22" s="130"/>
      <c r="I22" s="125">
        <f>SUM(I14:I21)</f>
        <v>0</v>
      </c>
      <c r="J22" s="8"/>
    </row>
    <row r="23" spans="1:10" ht="15" customHeight="1">
      <c r="A23" s="131"/>
      <c r="B23" s="71"/>
      <c r="C23" s="72"/>
      <c r="D23" s="130" t="s">
        <v>482</v>
      </c>
      <c r="E23" s="130"/>
      <c r="F23" s="132">
        <v>0</v>
      </c>
      <c r="G23" s="130" t="s">
        <v>483</v>
      </c>
      <c r="H23" s="130"/>
      <c r="I23" s="125">
        <v>0</v>
      </c>
      <c r="J23" s="8"/>
    </row>
    <row r="24" spans="1:10" ht="15" customHeight="1">
      <c r="A24" s="133"/>
      <c r="B24" s="134"/>
      <c r="C24" s="134"/>
      <c r="D24" s="71"/>
      <c r="E24" s="71"/>
      <c r="F24" s="135"/>
      <c r="G24" s="130" t="s">
        <v>484</v>
      </c>
      <c r="H24" s="130"/>
      <c r="I24" s="125">
        <f>vorn_sum</f>
        <v>0</v>
      </c>
      <c r="J24" s="8"/>
    </row>
    <row r="25" spans="1:10" ht="15" customHeight="1">
      <c r="A25" s="133"/>
      <c r="B25" s="134"/>
      <c r="C25" s="134"/>
      <c r="D25" s="134"/>
      <c r="E25" s="134"/>
      <c r="F25" s="99"/>
      <c r="G25" s="130" t="s">
        <v>485</v>
      </c>
      <c r="H25" s="130"/>
      <c r="I25" s="125">
        <v>0</v>
      </c>
      <c r="J25" s="8"/>
    </row>
    <row r="26" spans="1:9" ht="12.75">
      <c r="A26" s="136"/>
      <c r="B26" s="104"/>
      <c r="C26" s="104"/>
      <c r="D26" s="134"/>
      <c r="E26" s="134"/>
      <c r="F26" s="134"/>
      <c r="G26" s="71"/>
      <c r="H26" s="71"/>
      <c r="I26" s="137"/>
    </row>
    <row r="27" spans="1:9" ht="15" customHeight="1">
      <c r="A27" s="138" t="s">
        <v>486</v>
      </c>
      <c r="B27" s="138"/>
      <c r="C27" s="139">
        <f>SUM('Stavební rozpočet'!AJ12:AJ126)</f>
        <v>0</v>
      </c>
      <c r="D27" s="103"/>
      <c r="E27" s="104"/>
      <c r="F27" s="104"/>
      <c r="G27" s="104"/>
      <c r="H27" s="104"/>
      <c r="I27" s="140"/>
    </row>
    <row r="28" spans="1:10" ht="15" customHeight="1">
      <c r="A28" s="138" t="s">
        <v>487</v>
      </c>
      <c r="B28" s="138"/>
      <c r="C28" s="139">
        <f>SUM('Stavební rozpočet'!AK12:AK126)</f>
        <v>0</v>
      </c>
      <c r="D28" s="141" t="s">
        <v>488</v>
      </c>
      <c r="E28" s="141"/>
      <c r="F28" s="139">
        <f>ROUND(C28*(15/100),2)</f>
        <v>0</v>
      </c>
      <c r="G28" s="141" t="s">
        <v>489</v>
      </c>
      <c r="H28" s="141"/>
      <c r="I28" s="142">
        <f>SUM(C27:C29)</f>
        <v>0</v>
      </c>
      <c r="J28" s="8"/>
    </row>
    <row r="29" spans="1:10" ht="15" customHeight="1">
      <c r="A29" s="138" t="s">
        <v>490</v>
      </c>
      <c r="B29" s="138"/>
      <c r="C29" s="139">
        <f>SUM('Stavební rozpočet'!AL12:AL126)+(F22+I22+F23+I23+I24+I25)</f>
        <v>0</v>
      </c>
      <c r="D29" s="141" t="s">
        <v>491</v>
      </c>
      <c r="E29" s="141"/>
      <c r="F29" s="139">
        <f>ROUND(C29*(21/100),2)</f>
        <v>0</v>
      </c>
      <c r="G29" s="141" t="s">
        <v>492</v>
      </c>
      <c r="H29" s="141"/>
      <c r="I29" s="142">
        <f>SUM(F28:F29)+I28</f>
        <v>0</v>
      </c>
      <c r="J29" s="8"/>
    </row>
    <row r="30" spans="1:9" ht="12.75">
      <c r="A30" s="143"/>
      <c r="B30" s="144"/>
      <c r="C30" s="144"/>
      <c r="D30" s="144"/>
      <c r="E30" s="144"/>
      <c r="F30" s="144"/>
      <c r="G30" s="144"/>
      <c r="H30" s="144"/>
      <c r="I30" s="145"/>
    </row>
    <row r="31" spans="1:10" ht="14.25" customHeight="1">
      <c r="A31" s="146" t="s">
        <v>493</v>
      </c>
      <c r="B31" s="146"/>
      <c r="C31" s="146"/>
      <c r="D31" s="146" t="s">
        <v>494</v>
      </c>
      <c r="E31" s="146"/>
      <c r="F31" s="146"/>
      <c r="G31" s="146" t="s">
        <v>495</v>
      </c>
      <c r="H31" s="146"/>
      <c r="I31" s="146"/>
      <c r="J31" s="8"/>
    </row>
    <row r="32" spans="1:10" ht="14.2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8"/>
    </row>
    <row r="33" spans="1:10" ht="14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8"/>
    </row>
    <row r="34" spans="1:10" ht="14.2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8"/>
    </row>
    <row r="35" spans="1:10" ht="14.25" customHeight="1">
      <c r="A35" s="148" t="s">
        <v>496</v>
      </c>
      <c r="B35" s="148"/>
      <c r="C35" s="148"/>
      <c r="D35" s="148" t="s">
        <v>496</v>
      </c>
      <c r="E35" s="148"/>
      <c r="F35" s="148"/>
      <c r="G35" s="148" t="s">
        <v>496</v>
      </c>
      <c r="H35" s="148"/>
      <c r="I35" s="148"/>
      <c r="J35" s="8"/>
    </row>
    <row r="36" spans="1:9" ht="11.25" customHeight="1">
      <c r="A36" s="61" t="s">
        <v>409</v>
      </c>
      <c r="B36" s="149"/>
      <c r="C36" s="149"/>
      <c r="D36" s="149"/>
      <c r="E36" s="149"/>
      <c r="F36" s="149"/>
      <c r="G36" s="149"/>
      <c r="H36" s="149"/>
      <c r="I36" s="150"/>
    </row>
    <row r="37" spans="1:9" ht="12.75" customHeight="1">
      <c r="A37" s="64" t="s">
        <v>449</v>
      </c>
      <c r="B37" s="64"/>
      <c r="C37" s="64"/>
      <c r="D37" s="64"/>
      <c r="E37" s="64"/>
      <c r="F37" s="64"/>
      <c r="G37" s="64"/>
      <c r="H37" s="64"/>
      <c r="I37" s="64"/>
    </row>
  </sheetData>
  <sheetProtection sheet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F16" sqref="F16"/>
    </sheetView>
  </sheetViews>
  <sheetFormatPr defaultColWidth="12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7.140625" style="1" customWidth="1"/>
    <col min="9" max="9" width="22.8515625" style="1" customWidth="1"/>
    <col min="10" max="16384" width="11.57421875" style="1" customWidth="1"/>
  </cols>
  <sheetData>
    <row r="1" spans="1:9" ht="28.5" customHeight="1">
      <c r="A1" s="109"/>
      <c r="B1" s="110"/>
      <c r="C1" s="111" t="s">
        <v>497</v>
      </c>
      <c r="D1" s="111"/>
      <c r="E1" s="111"/>
      <c r="F1" s="111"/>
      <c r="G1" s="111"/>
      <c r="H1" s="111"/>
      <c r="I1" s="111"/>
    </row>
    <row r="2" spans="1:10" ht="12.75" customHeight="1">
      <c r="A2" s="3" t="s">
        <v>1</v>
      </c>
      <c r="B2" s="3"/>
      <c r="C2" s="4" t="str">
        <f>'Stavební rozpočet'!C2</f>
        <v>Výměna rozvodů splaškové kanalizace na ZŠ HAMR pod objektem školní jídelny parc. č. st. 562</v>
      </c>
      <c r="D2" s="4"/>
      <c r="E2" s="6" t="s">
        <v>5</v>
      </c>
      <c r="F2" s="6" t="str">
        <f>'Stavební rozpočet'!I2</f>
        <v>Městský úřad Litvínov</v>
      </c>
      <c r="G2" s="6"/>
      <c r="H2" s="6" t="s">
        <v>451</v>
      </c>
      <c r="I2" s="112" t="s">
        <v>452</v>
      </c>
      <c r="J2" s="8"/>
    </row>
    <row r="3" spans="1:10" ht="38.25" customHeight="1">
      <c r="A3" s="3"/>
      <c r="B3" s="3"/>
      <c r="C3" s="4"/>
      <c r="D3" s="4"/>
      <c r="E3" s="6"/>
      <c r="F3" s="6"/>
      <c r="G3" s="6"/>
      <c r="H3" s="6"/>
      <c r="I3" s="112"/>
      <c r="J3" s="8"/>
    </row>
    <row r="4" spans="1:10" ht="12.75" customHeight="1">
      <c r="A4" s="9" t="s">
        <v>7</v>
      </c>
      <c r="B4" s="9"/>
      <c r="C4" s="10" t="str">
        <f>'Stavební rozpočet'!C4</f>
        <v>Oprava a rekonstrukce kanalizace</v>
      </c>
      <c r="D4" s="10"/>
      <c r="E4" s="10" t="s">
        <v>10</v>
      </c>
      <c r="F4" s="10" t="str">
        <f>'Stavební rozpočet'!I4</f>
        <v>MIKRO PRAHA spol. s.r.o.</v>
      </c>
      <c r="G4" s="10"/>
      <c r="H4" s="10" t="s">
        <v>451</v>
      </c>
      <c r="I4" s="113" t="s">
        <v>453</v>
      </c>
      <c r="J4" s="8"/>
    </row>
    <row r="5" spans="1:10" ht="12.75">
      <c r="A5" s="9"/>
      <c r="B5" s="9"/>
      <c r="C5" s="10"/>
      <c r="D5" s="10"/>
      <c r="E5" s="10"/>
      <c r="F5" s="10"/>
      <c r="G5" s="10"/>
      <c r="H5" s="10"/>
      <c r="I5" s="113"/>
      <c r="J5" s="8"/>
    </row>
    <row r="6" spans="1:10" ht="12.75" customHeight="1">
      <c r="A6" s="9" t="s">
        <v>12</v>
      </c>
      <c r="B6" s="9"/>
      <c r="C6" s="10" t="str">
        <f>'Stavební rozpočet'!C6</f>
        <v>budova bez č.p./č.e. na pozemku parc. č. st. 562 v katastrální území Hamr u Litvínova, Litvínov</v>
      </c>
      <c r="D6" s="10"/>
      <c r="E6" s="10" t="s">
        <v>15</v>
      </c>
      <c r="F6" s="10" t="str">
        <f>'Stavební rozpočet'!I6</f>
        <v>0</v>
      </c>
      <c r="G6" s="10"/>
      <c r="H6" s="10" t="s">
        <v>451</v>
      </c>
      <c r="I6" s="113"/>
      <c r="J6" s="8"/>
    </row>
    <row r="7" spans="1:10" ht="25.5" customHeight="1">
      <c r="A7" s="9"/>
      <c r="B7" s="9"/>
      <c r="C7" s="10"/>
      <c r="D7" s="10"/>
      <c r="E7" s="10"/>
      <c r="F7" s="10"/>
      <c r="G7" s="10"/>
      <c r="H7" s="10"/>
      <c r="I7" s="113"/>
      <c r="J7" s="8"/>
    </row>
    <row r="8" spans="1:10" ht="12.75" customHeight="1">
      <c r="A8" s="9" t="s">
        <v>9</v>
      </c>
      <c r="B8" s="9"/>
      <c r="C8" s="10" t="str">
        <f>'Stavební rozpočet'!G4</f>
        <v> </v>
      </c>
      <c r="D8" s="10"/>
      <c r="E8" s="10" t="s">
        <v>14</v>
      </c>
      <c r="F8" s="10" t="str">
        <f>'Stavební rozpočet'!G6</f>
        <v> </v>
      </c>
      <c r="G8" s="10"/>
      <c r="H8" s="11" t="s">
        <v>454</v>
      </c>
      <c r="I8" s="113" t="s">
        <v>406</v>
      </c>
      <c r="J8" s="8"/>
    </row>
    <row r="9" spans="1:10" ht="12.75">
      <c r="A9" s="9"/>
      <c r="B9" s="9"/>
      <c r="C9" s="10"/>
      <c r="D9" s="10"/>
      <c r="E9" s="10"/>
      <c r="F9" s="10"/>
      <c r="G9" s="10"/>
      <c r="H9" s="11"/>
      <c r="I9" s="113"/>
      <c r="J9" s="8"/>
    </row>
    <row r="10" spans="1:10" ht="12.75" customHeight="1">
      <c r="A10" s="114" t="s">
        <v>17</v>
      </c>
      <c r="B10" s="114"/>
      <c r="C10" s="115" t="str">
        <f>'Stavební rozpočet'!C8</f>
        <v>801 86</v>
      </c>
      <c r="D10" s="115"/>
      <c r="E10" s="115" t="s">
        <v>20</v>
      </c>
      <c r="F10" s="115">
        <f>'Stavební rozpočet'!I8</f>
        <v>0</v>
      </c>
      <c r="G10" s="115"/>
      <c r="H10" s="65" t="s">
        <v>455</v>
      </c>
      <c r="I10" s="116" t="str">
        <f>'Stavební rozpočet'!G8</f>
        <v>0</v>
      </c>
      <c r="J10" s="8"/>
    </row>
    <row r="11" spans="1:10" ht="12.75">
      <c r="A11" s="114"/>
      <c r="B11" s="114"/>
      <c r="C11" s="115"/>
      <c r="D11" s="115"/>
      <c r="E11" s="115"/>
      <c r="F11" s="115"/>
      <c r="G11" s="115"/>
      <c r="H11" s="65"/>
      <c r="I11" s="116"/>
      <c r="J11" s="8"/>
    </row>
    <row r="12" spans="1:9" ht="12.75">
      <c r="A12" s="131"/>
      <c r="B12" s="71"/>
      <c r="C12" s="71"/>
      <c r="D12" s="71"/>
      <c r="E12" s="71"/>
      <c r="F12" s="71"/>
      <c r="G12" s="71"/>
      <c r="H12" s="71"/>
      <c r="I12" s="137"/>
    </row>
    <row r="13" spans="1:9" ht="15" customHeight="1">
      <c r="A13" s="151" t="s">
        <v>498</v>
      </c>
      <c r="B13" s="151"/>
      <c r="C13" s="151"/>
      <c r="D13" s="151"/>
      <c r="E13" s="151"/>
      <c r="F13" s="152"/>
      <c r="G13" s="152"/>
      <c r="H13" s="152"/>
      <c r="I13" s="153"/>
    </row>
    <row r="14" spans="1:10" ht="12.75">
      <c r="A14" s="154" t="s">
        <v>499</v>
      </c>
      <c r="B14" s="154"/>
      <c r="C14" s="154"/>
      <c r="D14" s="154"/>
      <c r="E14" s="154"/>
      <c r="F14" s="155" t="s">
        <v>500</v>
      </c>
      <c r="G14" s="155" t="s">
        <v>501</v>
      </c>
      <c r="H14" s="155" t="s">
        <v>502</v>
      </c>
      <c r="I14" s="155" t="s">
        <v>500</v>
      </c>
      <c r="J14" s="8"/>
    </row>
    <row r="15" spans="1:10" ht="12.75">
      <c r="A15" s="156" t="s">
        <v>465</v>
      </c>
      <c r="B15" s="156"/>
      <c r="C15" s="156"/>
      <c r="D15" s="156"/>
      <c r="E15" s="156"/>
      <c r="F15" s="157">
        <v>0</v>
      </c>
      <c r="G15" s="158"/>
      <c r="H15" s="158"/>
      <c r="I15" s="159">
        <f>F15</f>
        <v>0</v>
      </c>
      <c r="J15" s="8"/>
    </row>
    <row r="16" spans="1:10" ht="12.75">
      <c r="A16" s="156" t="s">
        <v>468</v>
      </c>
      <c r="B16" s="156"/>
      <c r="C16" s="156"/>
      <c r="D16" s="156"/>
      <c r="E16" s="156"/>
      <c r="F16" s="157">
        <v>0</v>
      </c>
      <c r="G16" s="158"/>
      <c r="H16" s="158"/>
      <c r="I16" s="159">
        <f>F16</f>
        <v>0</v>
      </c>
      <c r="J16" s="8"/>
    </row>
    <row r="17" spans="1:10" ht="12.75">
      <c r="A17" s="160" t="s">
        <v>471</v>
      </c>
      <c r="B17" s="160"/>
      <c r="C17" s="160"/>
      <c r="D17" s="160"/>
      <c r="E17" s="160"/>
      <c r="F17" s="161">
        <v>0</v>
      </c>
      <c r="G17" s="162"/>
      <c r="H17" s="162"/>
      <c r="I17" s="163">
        <f>F17</f>
        <v>0</v>
      </c>
      <c r="J17" s="8"/>
    </row>
    <row r="18" spans="1:10" ht="12.75">
      <c r="A18" s="67" t="s">
        <v>503</v>
      </c>
      <c r="B18" s="67"/>
      <c r="C18" s="67"/>
      <c r="D18" s="67"/>
      <c r="E18" s="67"/>
      <c r="F18" s="67"/>
      <c r="G18" s="164"/>
      <c r="H18" s="164"/>
      <c r="I18" s="165">
        <f>SUM(I15:I17)</f>
        <v>0</v>
      </c>
      <c r="J18" s="8"/>
    </row>
    <row r="19" spans="1:9" ht="12.75">
      <c r="A19" s="166"/>
      <c r="B19" s="167"/>
      <c r="C19" s="167"/>
      <c r="D19" s="167"/>
      <c r="E19" s="167"/>
      <c r="F19" s="167"/>
      <c r="G19" s="167"/>
      <c r="H19" s="167"/>
      <c r="I19" s="168"/>
    </row>
    <row r="20" spans="1:10" ht="12.75">
      <c r="A20" s="154" t="s">
        <v>462</v>
      </c>
      <c r="B20" s="154"/>
      <c r="C20" s="154"/>
      <c r="D20" s="154"/>
      <c r="E20" s="154"/>
      <c r="F20" s="155" t="s">
        <v>500</v>
      </c>
      <c r="G20" s="155" t="s">
        <v>501</v>
      </c>
      <c r="H20" s="155" t="s">
        <v>502</v>
      </c>
      <c r="I20" s="155" t="s">
        <v>500</v>
      </c>
      <c r="J20" s="8"/>
    </row>
    <row r="21" spans="1:10" ht="12.75">
      <c r="A21" s="156" t="s">
        <v>466</v>
      </c>
      <c r="B21" s="156"/>
      <c r="C21" s="156"/>
      <c r="D21" s="156"/>
      <c r="E21" s="156"/>
      <c r="F21" s="158"/>
      <c r="G21" s="169">
        <v>0</v>
      </c>
      <c r="H21" s="170">
        <f>'Krycí list rozpočtu'!C22</f>
        <v>0</v>
      </c>
      <c r="I21" s="159">
        <f>ROUND((G21/100)*H21,2)</f>
        <v>0</v>
      </c>
      <c r="J21" s="8"/>
    </row>
    <row r="22" spans="1:10" ht="12.75">
      <c r="A22" s="156" t="s">
        <v>469</v>
      </c>
      <c r="B22" s="156"/>
      <c r="C22" s="156"/>
      <c r="D22" s="156"/>
      <c r="E22" s="156"/>
      <c r="F22" s="169">
        <v>0</v>
      </c>
      <c r="G22" s="158"/>
      <c r="H22" s="158"/>
      <c r="I22" s="159">
        <f>F22</f>
        <v>0</v>
      </c>
      <c r="J22" s="8"/>
    </row>
    <row r="23" spans="1:10" ht="12.75">
      <c r="A23" s="156" t="s">
        <v>472</v>
      </c>
      <c r="B23" s="156"/>
      <c r="C23" s="156"/>
      <c r="D23" s="156"/>
      <c r="E23" s="156"/>
      <c r="F23" s="169">
        <v>0</v>
      </c>
      <c r="G23" s="158"/>
      <c r="H23" s="158"/>
      <c r="I23" s="159">
        <f>F23</f>
        <v>0</v>
      </c>
      <c r="J23" s="8"/>
    </row>
    <row r="24" spans="1:10" ht="12.75">
      <c r="A24" s="156" t="s">
        <v>473</v>
      </c>
      <c r="B24" s="156"/>
      <c r="C24" s="156"/>
      <c r="D24" s="156"/>
      <c r="E24" s="156"/>
      <c r="F24" s="169">
        <v>0</v>
      </c>
      <c r="G24" s="158"/>
      <c r="H24" s="158"/>
      <c r="I24" s="159">
        <f>F24</f>
        <v>0</v>
      </c>
      <c r="J24" s="8"/>
    </row>
    <row r="25" spans="1:10" ht="12.75">
      <c r="A25" s="156" t="s">
        <v>475</v>
      </c>
      <c r="B25" s="156"/>
      <c r="C25" s="156"/>
      <c r="D25" s="156"/>
      <c r="E25" s="156"/>
      <c r="F25" s="169">
        <v>0</v>
      </c>
      <c r="G25" s="158"/>
      <c r="H25" s="158"/>
      <c r="I25" s="159">
        <f>F25</f>
        <v>0</v>
      </c>
      <c r="J25" s="8"/>
    </row>
    <row r="26" spans="1:10" ht="12.75">
      <c r="A26" s="160" t="s">
        <v>476</v>
      </c>
      <c r="B26" s="160"/>
      <c r="C26" s="160"/>
      <c r="D26" s="160"/>
      <c r="E26" s="160"/>
      <c r="F26" s="171">
        <v>0</v>
      </c>
      <c r="G26" s="162"/>
      <c r="H26" s="162"/>
      <c r="I26" s="163">
        <f>F26</f>
        <v>0</v>
      </c>
      <c r="J26" s="8"/>
    </row>
    <row r="27" spans="1:10" ht="12.75">
      <c r="A27" s="67" t="s">
        <v>504</v>
      </c>
      <c r="B27" s="67"/>
      <c r="C27" s="67"/>
      <c r="D27" s="67"/>
      <c r="E27" s="67"/>
      <c r="F27" s="67"/>
      <c r="G27" s="164"/>
      <c r="H27" s="164"/>
      <c r="I27" s="165">
        <f>SUM(I21:I26)</f>
        <v>0</v>
      </c>
      <c r="J27" s="8"/>
    </row>
    <row r="28" spans="1:9" ht="12.75">
      <c r="A28" s="166"/>
      <c r="B28" s="167"/>
      <c r="C28" s="167"/>
      <c r="D28" s="167"/>
      <c r="E28" s="167"/>
      <c r="F28" s="167"/>
      <c r="G28" s="167"/>
      <c r="H28" s="167"/>
      <c r="I28" s="168"/>
    </row>
    <row r="29" spans="1:10" ht="15" customHeight="1">
      <c r="A29" s="172" t="s">
        <v>505</v>
      </c>
      <c r="B29" s="172"/>
      <c r="C29" s="172"/>
      <c r="D29" s="172"/>
      <c r="E29" s="172"/>
      <c r="F29" s="173">
        <f>I18+I27</f>
        <v>0</v>
      </c>
      <c r="G29" s="173"/>
      <c r="H29" s="173"/>
      <c r="I29" s="173"/>
      <c r="J29" s="8"/>
    </row>
    <row r="30" spans="1:9" ht="12.75">
      <c r="A30" s="174"/>
      <c r="B30" s="149"/>
      <c r="C30" s="149"/>
      <c r="D30" s="149"/>
      <c r="E30" s="149"/>
      <c r="F30" s="149"/>
      <c r="G30" s="149"/>
      <c r="H30" s="149"/>
      <c r="I30" s="150"/>
    </row>
    <row r="31" spans="1:9" ht="15" customHeight="1">
      <c r="A31" s="151" t="s">
        <v>506</v>
      </c>
      <c r="B31" s="151"/>
      <c r="C31" s="151"/>
      <c r="D31" s="151"/>
      <c r="E31" s="151"/>
      <c r="F31" s="152"/>
      <c r="G31" s="152"/>
      <c r="H31" s="152"/>
      <c r="I31" s="153"/>
    </row>
    <row r="32" spans="1:10" ht="12.75">
      <c r="A32" s="154" t="s">
        <v>507</v>
      </c>
      <c r="B32" s="154"/>
      <c r="C32" s="154"/>
      <c r="D32" s="154"/>
      <c r="E32" s="154"/>
      <c r="F32" s="155" t="s">
        <v>500</v>
      </c>
      <c r="G32" s="155" t="s">
        <v>501</v>
      </c>
      <c r="H32" s="155" t="s">
        <v>502</v>
      </c>
      <c r="I32" s="155" t="s">
        <v>500</v>
      </c>
      <c r="J32" s="8"/>
    </row>
    <row r="33" spans="1:10" ht="12.75">
      <c r="A33" s="160"/>
      <c r="B33" s="160"/>
      <c r="C33" s="160"/>
      <c r="D33" s="160"/>
      <c r="E33" s="160"/>
      <c r="F33" s="161">
        <v>0</v>
      </c>
      <c r="G33" s="162"/>
      <c r="H33" s="162"/>
      <c r="I33" s="163">
        <f>F33</f>
        <v>0</v>
      </c>
      <c r="J33" s="8"/>
    </row>
    <row r="34" spans="1:10" ht="12.75">
      <c r="A34" s="67" t="s">
        <v>508</v>
      </c>
      <c r="B34" s="67"/>
      <c r="C34" s="67"/>
      <c r="D34" s="67"/>
      <c r="E34" s="67"/>
      <c r="F34" s="67"/>
      <c r="G34" s="164"/>
      <c r="H34" s="164"/>
      <c r="I34" s="165">
        <f>SUM(I33:I33)</f>
        <v>0</v>
      </c>
      <c r="J34" s="8"/>
    </row>
    <row r="35" spans="1:9" ht="12.75">
      <c r="A35" s="149"/>
      <c r="B35" s="149"/>
      <c r="C35" s="149"/>
      <c r="D35" s="149"/>
      <c r="E35" s="149"/>
      <c r="F35" s="149"/>
      <c r="G35" s="149"/>
      <c r="H35" s="149"/>
      <c r="I35" s="149"/>
    </row>
  </sheetData>
  <sheetProtection sheet="1"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1:E31"/>
    <mergeCell ref="A32:E32"/>
    <mergeCell ref="A33:E33"/>
    <mergeCell ref="A34:E34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javurek</dc:creator>
  <cp:keywords/>
  <dc:description/>
  <cp:lastModifiedBy>Jaroslav javurek</cp:lastModifiedBy>
  <cp:lastPrinted>2021-09-07T13:53:19Z</cp:lastPrinted>
  <dcterms:created xsi:type="dcterms:W3CDTF">2021-09-07T13:49:16Z</dcterms:created>
  <dcterms:modified xsi:type="dcterms:W3CDTF">2021-09-07T14:01:32Z</dcterms:modified>
  <cp:category/>
  <cp:version/>
  <cp:contentType/>
  <cp:contentStatus/>
</cp:coreProperties>
</file>