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defaultThemeVersion="124226"/>
  <bookViews>
    <workbookView xWindow="65416" yWindow="65416" windowWidth="29040" windowHeight="15840" activeTab="0"/>
  </bookViews>
  <sheets>
    <sheet name="Stavební rozpočet" sheetId="1" r:id="rId1"/>
    <sheet name="Krycí list rozpočtu" sheetId="2" r:id="rId2"/>
  </sheets>
  <definedNames/>
  <calcPr calcId="191029"/>
  <extLst/>
</workbook>
</file>

<file path=xl/sharedStrings.xml><?xml version="1.0" encoding="utf-8"?>
<sst xmlns="http://schemas.openxmlformats.org/spreadsheetml/2006/main" count="678" uniqueCount="325">
  <si>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</si>
  <si>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</si>
  <si>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</si>
  <si>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</si>
  <si>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</si>
  <si>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</si>
  <si>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</si>
  <si>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</si>
  <si>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</si>
  <si>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</si>
  <si>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</si>
  <si>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</si>
  <si>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</si>
  <si>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</si>
  <si>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</si>
  <si>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</si>
  <si>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</si>
  <si>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</si>
  <si>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</si>
  <si>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</si>
  <si>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</si>
  <si>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</si>
  <si>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</si>
  <si>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</si>
  <si>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</si>
  <si>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</si>
  <si>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</si>
  <si>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</si>
  <si>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</si>
  <si>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</si>
  <si>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</si>
  <si>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</si>
  <si>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</si>
  <si>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</si>
  <si>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</si>
  <si>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</si>
  <si>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</si>
  <si>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</si>
  <si>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</si>
  <si>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</si>
  <si>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</si>
  <si>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</si>
  <si>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</si>
  <si>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</si>
  <si>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</si>
  <si>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</si>
  <si>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</si>
  <si>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</si>
  <si>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</si>
  <si>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Poznámka:</t>
  </si>
  <si>
    <t>Kód</t>
  </si>
  <si>
    <t>132200012RA0</t>
  </si>
  <si>
    <t>131301111T00</t>
  </si>
  <si>
    <t>161101101R00</t>
  </si>
  <si>
    <t>167101101R00</t>
  </si>
  <si>
    <t>162301102R00</t>
  </si>
  <si>
    <t>162701109R00</t>
  </si>
  <si>
    <t>171201201R00</t>
  </si>
  <si>
    <t>199000002R00</t>
  </si>
  <si>
    <t>181101111R00</t>
  </si>
  <si>
    <t>271570010RAC</t>
  </si>
  <si>
    <t>311238154R00</t>
  </si>
  <si>
    <t>380310070RAA</t>
  </si>
  <si>
    <t>380361007R00</t>
  </si>
  <si>
    <t>417320041RA0</t>
  </si>
  <si>
    <t>45</t>
  </si>
  <si>
    <t>451572111R00</t>
  </si>
  <si>
    <t>62</t>
  </si>
  <si>
    <t>622421131R00</t>
  </si>
  <si>
    <t>63</t>
  </si>
  <si>
    <t>631317120T00</t>
  </si>
  <si>
    <t>631312811R00</t>
  </si>
  <si>
    <t>764</t>
  </si>
  <si>
    <t>764715246R00</t>
  </si>
  <si>
    <t>764554410RAB</t>
  </si>
  <si>
    <t>764551492R00</t>
  </si>
  <si>
    <t>5535128520</t>
  </si>
  <si>
    <t>764359312R00</t>
  </si>
  <si>
    <t>764251405R00</t>
  </si>
  <si>
    <t>764252492R00</t>
  </si>
  <si>
    <t>55351590</t>
  </si>
  <si>
    <t>998764101R00</t>
  </si>
  <si>
    <t>767</t>
  </si>
  <si>
    <t>767995100VDVD</t>
  </si>
  <si>
    <t>13383315</t>
  </si>
  <si>
    <t>13385375</t>
  </si>
  <si>
    <t>13388140</t>
  </si>
  <si>
    <t>13388125</t>
  </si>
  <si>
    <t>13611238</t>
  </si>
  <si>
    <t>14115364</t>
  </si>
  <si>
    <t>14587296</t>
  </si>
  <si>
    <t>998767101R00</t>
  </si>
  <si>
    <t>783</t>
  </si>
  <si>
    <t>783991112VD</t>
  </si>
  <si>
    <t>95</t>
  </si>
  <si>
    <t>953981103R00</t>
  </si>
  <si>
    <t>31171337.A</t>
  </si>
  <si>
    <t>309001290000</t>
  </si>
  <si>
    <t>001111113VD</t>
  </si>
  <si>
    <t>H01</t>
  </si>
  <si>
    <t>998012021R00</t>
  </si>
  <si>
    <t>AREÁL HAMR - SBĚRNÝ DVŮR - dokumentace pro provedení stavby</t>
  </si>
  <si>
    <t>SO 03  KÓJE A PŘESTŘEŠENÍ</t>
  </si>
  <si>
    <t>Hamr</t>
  </si>
  <si>
    <t>Zkrácený popis</t>
  </si>
  <si>
    <t>Rozměry</t>
  </si>
  <si>
    <t>Hloubené vykopávky</t>
  </si>
  <si>
    <t>Hloubení nezapaž.rýh šířky do 200 cm v hornině 1-4</t>
  </si>
  <si>
    <t>23,7*0,6*1,15+(5,15+0,25)*0,6*1,15*7;rýhy;</t>
  </si>
  <si>
    <t>Hloubení nezapažených jam hor.4 do 100 m3, strojně</t>
  </si>
  <si>
    <t>23,7*6,6*0,3+(6+2,7*5)*5,15*0,1;jáma;</t>
  </si>
  <si>
    <t>Přemístění výkopku</t>
  </si>
  <si>
    <t>Svislé přemístění výkopku z hor.1-4 do 2,5 m</t>
  </si>
  <si>
    <t>42,435;viz hloubení rýh;</t>
  </si>
  <si>
    <t>Nakládání výkopku z hor.1-4 v množství do 100 m3</t>
  </si>
  <si>
    <t>56,9685;viz hloubení jam;</t>
  </si>
  <si>
    <t>Vodorovné přemístění výkopku z hor.1-4 do 1000 m</t>
  </si>
  <si>
    <t>99,4035;viz hloubení;</t>
  </si>
  <si>
    <t>Příplatek k vod. přemístění hor.1-4 za další 1 km</t>
  </si>
  <si>
    <t>99,4035*19;viz hloubení-odvoz celkem do 20km;</t>
  </si>
  <si>
    <t>Konstrukce ze zemin</t>
  </si>
  <si>
    <t>Uložení sypaniny na skládku</t>
  </si>
  <si>
    <t>Poplatek za skládku zeminy</t>
  </si>
  <si>
    <t>Povrchové úpravy terénu</t>
  </si>
  <si>
    <t>Úprava pláně v zářezech se zhutněním - ručně</t>
  </si>
  <si>
    <t>23,7*6,2;hutnění;</t>
  </si>
  <si>
    <t>Základy</t>
  </si>
  <si>
    <t>Polštář hutněný pod základy ze štěrkopísku tloušťky 20 cm</t>
  </si>
  <si>
    <t>(6+2,7*5)*5,15;podsyp;</t>
  </si>
  <si>
    <t>Zdi podpěrné a volné</t>
  </si>
  <si>
    <t>Zdivo POROTHERM 30 Profi P15, tl. 300 mm</t>
  </si>
  <si>
    <t>5,8*(5+5,5)/2</t>
  </si>
  <si>
    <t>5,8*(3+3,5)/2</t>
  </si>
  <si>
    <t>6,3*5</t>
  </si>
  <si>
    <t>;zdivo;</t>
  </si>
  <si>
    <t>Různé kompletní konstrukce nedělitelné do stav. dílů</t>
  </si>
  <si>
    <t xml:space="preserve">Kompletní kce z betonu C 30/37, bednění a odbednění </t>
  </si>
  <si>
    <t>23,7*6,6*0,25-2,7*0,25*0,25*7;deska;</t>
  </si>
  <si>
    <t>(3*5+0,3*6)*2*0,3+5,35*2*0,3*6;stěny;</t>
  </si>
  <si>
    <t>23,7*0,6*1*2+5,15*0,6*1*7+0,25*0,6*1*7;základy;</t>
  </si>
  <si>
    <t>Výztuž kompletních konstrukcí z oceli 10 505(R)</t>
  </si>
  <si>
    <t>7475,5/1000</t>
  </si>
  <si>
    <t>Stropy a stropní konstrukce (pro pozemní stavby)</t>
  </si>
  <si>
    <t>Ztužující věnec ŽB beton C 25/30, 30 x 25 cm</t>
  </si>
  <si>
    <t>5,8*2+5,8*2+6,3*2;věnec;</t>
  </si>
  <si>
    <t>Podkladní a vedlejší konstrukce (kromě vozovek a železničního svršku)</t>
  </si>
  <si>
    <t>Lože pod základy</t>
  </si>
  <si>
    <t>23,7*0,6*0,1+(5,15+0,25)*0,6*0,1;lože;</t>
  </si>
  <si>
    <t>Úprava povrchů vnější</t>
  </si>
  <si>
    <t>Omítka vnější stěn, hladká</t>
  </si>
  <si>
    <t>80,8*2;viz zdivo;</t>
  </si>
  <si>
    <t>Podlahy a podlahové konstrukce</t>
  </si>
  <si>
    <t>Řezání hl. 0-200 mm, beton prostý</t>
  </si>
  <si>
    <t>(23,7+6,6)*2+0,25*14</t>
  </si>
  <si>
    <t>(6+2,7*5)*2+5,15*12</t>
  </si>
  <si>
    <t>Mazanina betonová tl. 5 - 8 cm C 30/37</t>
  </si>
  <si>
    <t>(6+2,7*5)*5,15*0,05;podkladní beton;</t>
  </si>
  <si>
    <t>Konstrukce klempířské</t>
  </si>
  <si>
    <t>Krytina z lak. Al plechů,trapéz 40/160 mm, na ocel</t>
  </si>
  <si>
    <t>23,8*6,975;střecha;</t>
  </si>
  <si>
    <t>166,005*0,1;prořez;</t>
  </si>
  <si>
    <t>Odpadní trouby z TiZn plechu kruhové</t>
  </si>
  <si>
    <t>5,4*2;1/K;</t>
  </si>
  <si>
    <t>Montáž zděře Ti Zn</t>
  </si>
  <si>
    <t>2*2;1/K;</t>
  </si>
  <si>
    <t>Zděř</t>
  </si>
  <si>
    <t>4;1/K;</t>
  </si>
  <si>
    <t>Kotlík kónický z TiZn plechu pro trouby,D do 125 mm</t>
  </si>
  <si>
    <t>2;2/K;</t>
  </si>
  <si>
    <t>Žlaby z Ti Zn plechu, podok., rš 400 mm</t>
  </si>
  <si>
    <t>23,8;2/K;</t>
  </si>
  <si>
    <t>Montáž háků z Ti Zn půlkruhových</t>
  </si>
  <si>
    <t>25;2/K;</t>
  </si>
  <si>
    <t>Hák žlabový</t>
  </si>
  <si>
    <t>Přesun hmot pro klempířské konstr., výšky do 6 m</t>
  </si>
  <si>
    <t>Konstrukce doplňkové stavební (zámečnické)</t>
  </si>
  <si>
    <t>Výroba a montáž kovových konstrukcí</t>
  </si>
  <si>
    <t>771;IPE 100;</t>
  </si>
  <si>
    <t>210;UPE 100;</t>
  </si>
  <si>
    <t>4484;HEA 160;</t>
  </si>
  <si>
    <t>770;HEA 100;</t>
  </si>
  <si>
    <t>84;PL;</t>
  </si>
  <si>
    <t>107;TR;</t>
  </si>
  <si>
    <t>Tyč průřezu IPE 100, střední, jakost oceli S235</t>
  </si>
  <si>
    <t>771/1000</t>
  </si>
  <si>
    <t>Tyč průřezu UPE100, střední, jakost oceli S235</t>
  </si>
  <si>
    <t>210/1000</t>
  </si>
  <si>
    <t>Tyč průřezu HEA160, střední, jakost oceli S235</t>
  </si>
  <si>
    <t>4484/1000</t>
  </si>
  <si>
    <t>Tyč průřezu HEA100, střední, jakost oceli S235</t>
  </si>
  <si>
    <t>770/1000;střecha;</t>
  </si>
  <si>
    <t>Plech hladký jakost S235  15x1000x2000 mm</t>
  </si>
  <si>
    <t>84/1000</t>
  </si>
  <si>
    <t>Trubky bezešvé hladké jakost 11353.1  D 51x3,2 mm</t>
  </si>
  <si>
    <t>28,4</t>
  </si>
  <si>
    <t>Prořezy, spojovací materiál</t>
  </si>
  <si>
    <t>(8387-7624)/1000</t>
  </si>
  <si>
    <t>Přesun hmot pro zámečnické konstr., výšky do 6 m</t>
  </si>
  <si>
    <t>Nátěry</t>
  </si>
  <si>
    <t>Nátěrový systém antikorozní</t>
  </si>
  <si>
    <t>Různé dokončovací konstrukce a práce na pozemních stavbách</t>
  </si>
  <si>
    <t>Chemické kotvy do betonu</t>
  </si>
  <si>
    <t>16*2;kotvy;</t>
  </si>
  <si>
    <t>Kotva pro chem.kotvení-šroub</t>
  </si>
  <si>
    <t>Šroub ocelový 02 1101  M16x220 mm</t>
  </si>
  <si>
    <t>Podlití kotevních plechů</t>
  </si>
  <si>
    <t>Budovy občanské výstavby</t>
  </si>
  <si>
    <t>Přesun hmot pro objekty monolitické výšky do 6 m</t>
  </si>
  <si>
    <t>454,6875</t>
  </si>
  <si>
    <t>Doba výstavby:</t>
  </si>
  <si>
    <t>Začátek výstavby:</t>
  </si>
  <si>
    <t>Konec výstavby:</t>
  </si>
  <si>
    <t>Zpracováno dne:</t>
  </si>
  <si>
    <t>24.10.2022</t>
  </si>
  <si>
    <t>MJ</t>
  </si>
  <si>
    <t>m3</t>
  </si>
  <si>
    <t>m2</t>
  </si>
  <si>
    <t>t</t>
  </si>
  <si>
    <t>m</t>
  </si>
  <si>
    <t>kus</t>
  </si>
  <si>
    <t>kg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</si>
  <si>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</si>
  <si>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</si>
  <si>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</si>
  <si>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</si>
  <si>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</si>
  <si>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</si>
  <si>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</si>
  <si>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</si>
  <si>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Kamila Možná, 604833924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</si>
  <si>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</si>
  <si>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</si>
  <si>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</si>
  <si>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</si>
  <si>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</si>
  <si>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</si>
  <si>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</si>
  <si>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2022</t>
  </si>
  <si>
    <t>RTS II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</si>
  <si>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</si>
  <si>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</si>
  <si>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</si>
  <si>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</si>
  <si>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</si>
  <si>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</si>
  <si>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</si>
  <si>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</si>
  <si>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</si>
  <si>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13_</t>
  </si>
  <si>
    <t>16_</t>
  </si>
  <si>
    <t>17_</t>
  </si>
  <si>
    <t>18_</t>
  </si>
  <si>
    <t>27_</t>
  </si>
  <si>
    <t>31_</t>
  </si>
  <si>
    <t>38_</t>
  </si>
  <si>
    <t>41_</t>
  </si>
  <si>
    <t>45_</t>
  </si>
  <si>
    <t>62_</t>
  </si>
  <si>
    <t>63_</t>
  </si>
  <si>
    <t>764_</t>
  </si>
  <si>
    <t>767_</t>
  </si>
  <si>
    <t>783_</t>
  </si>
  <si>
    <t>95_</t>
  </si>
  <si>
    <t>H01_</t>
  </si>
  <si>
    <t>1_</t>
  </si>
  <si>
    <t>2_</t>
  </si>
  <si>
    <t>3_</t>
  </si>
  <si>
    <t>4_</t>
  </si>
  <si>
    <t>6_</t>
  </si>
  <si>
    <t>76_</t>
  </si>
  <si>
    <t>78_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</si>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</sst>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i/>
      <sz val="10"/>
      <color indexed="50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8" fillId="2" borderId="9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9" fontId="4" fillId="2" borderId="9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8" fillId="2" borderId="18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2" borderId="19" xfId="0" applyNumberFormat="1" applyFont="1" applyFill="1" applyBorder="1" applyAlignment="1" applyProtection="1">
      <alignment horizontal="right" vertical="center"/>
      <protection/>
    </xf>
    <xf numFmtId="49" fontId="6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9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6" xfId="0" applyNumberFormat="1" applyFont="1" applyFill="1" applyBorder="1" applyAlignment="1" applyProtection="1">
      <alignment horizontal="right" vertical="center"/>
      <protection/>
    </xf>
    <xf numFmtId="49" fontId="12" fillId="3" borderId="22" xfId="0" applyNumberFormat="1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49" fontId="13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49" fontId="14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4" fillId="0" borderId="22" xfId="0" applyNumberFormat="1" applyFont="1" applyFill="1" applyBorder="1" applyAlignment="1" applyProtection="1">
      <alignment horizontal="right" vertical="center"/>
      <protection/>
    </xf>
    <xf numFmtId="49" fontId="14" fillId="0" borderId="22" xfId="0" applyNumberFormat="1" applyFont="1" applyFill="1" applyBorder="1" applyAlignment="1" applyProtection="1">
      <alignment horizontal="right" vertical="center"/>
      <protection/>
    </xf>
    <xf numFmtId="4" fontId="14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3" fillId="3" borderId="28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49" fontId="8" fillId="2" borderId="9" xfId="0" applyNumberFormat="1" applyFont="1" applyFill="1" applyBorder="1" applyAlignment="1" applyProtection="1">
      <alignment horizontal="left" vertical="center"/>
      <protection/>
    </xf>
    <xf numFmtId="0" fontId="8" fillId="2" borderId="9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14" fillId="0" borderId="2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6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3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3" fillId="3" borderId="27" xfId="0" applyNumberFormat="1" applyFont="1" applyFill="1" applyBorder="1" applyAlignment="1" applyProtection="1">
      <alignment horizontal="left" vertical="center"/>
      <protection/>
    </xf>
    <xf numFmtId="0" fontId="13" fillId="3" borderId="39" xfId="0" applyNumberFormat="1" applyFont="1" applyFill="1" applyBorder="1" applyAlignment="1" applyProtection="1">
      <alignment horizontal="left" vertical="center"/>
      <protection/>
    </xf>
    <xf numFmtId="49" fontId="14" fillId="0" borderId="4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0" fontId="13" fillId="0" borderId="28" xfId="0" applyNumberFormat="1" applyFont="1" applyFill="1" applyBorder="1" applyAlignment="1" applyProtection="1">
      <alignment horizontal="left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0" fontId="14" fillId="0" borderId="28" xfId="0" applyNumberFormat="1" applyFont="1" applyFill="1" applyBorder="1" applyAlignment="1" applyProtection="1">
      <alignment horizontal="left" vertical="center"/>
      <protection/>
    </xf>
    <xf numFmtId="49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49" fontId="15" fillId="0" borderId="27" xfId="0" applyNumberFormat="1" applyFont="1" applyFill="1" applyBorder="1" applyAlignment="1" applyProtection="1">
      <alignment horizontal="left" vertical="center"/>
      <protection/>
    </xf>
    <xf numFmtId="0" fontId="15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22"/>
  <sheetViews>
    <sheetView tabSelected="1" workbookViewId="0" topLeftCell="A1">
      <pane ySplit="11" topLeftCell="A12" activePane="bottomLeft" state="frozen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42.140625" style="0" customWidth="1"/>
    <col min="4" max="4" width="8.00390625" style="0" customWidth="1"/>
    <col min="7" max="7" width="4.2812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25" max="64" width="12.140625" style="0" hidden="1" customWidth="1"/>
  </cols>
  <sheetData>
    <row r="1" spans="1:13" ht="72.9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4" ht="12.75">
      <c r="A2" s="97" t="s">
        <v>1</v>
      </c>
      <c r="B2" s="98"/>
      <c r="C2" s="99" t="s">
        <v>101</v>
      </c>
      <c r="D2" s="70"/>
      <c r="E2" s="101" t="s">
        <v>209</v>
      </c>
      <c r="F2" s="98"/>
      <c r="G2" s="101" t="s">
        <v>6</v>
      </c>
      <c r="H2" s="98"/>
      <c r="I2" s="102" t="s">
        <v>222</v>
      </c>
      <c r="J2" s="101" t="s">
        <v>228</v>
      </c>
      <c r="K2" s="98"/>
      <c r="L2" s="98"/>
      <c r="M2" s="103"/>
      <c r="N2" s="5"/>
    </row>
    <row r="3" spans="1:14" ht="12.75">
      <c r="A3" s="94"/>
      <c r="B3" s="72"/>
      <c r="C3" s="100"/>
      <c r="D3" s="100"/>
      <c r="E3" s="72"/>
      <c r="F3" s="72"/>
      <c r="G3" s="72"/>
      <c r="H3" s="72"/>
      <c r="I3" s="72"/>
      <c r="J3" s="72"/>
      <c r="K3" s="72"/>
      <c r="L3" s="72"/>
      <c r="M3" s="92"/>
      <c r="N3" s="5"/>
    </row>
    <row r="4" spans="1:14" ht="12.75">
      <c r="A4" s="88" t="s">
        <v>2</v>
      </c>
      <c r="B4" s="72"/>
      <c r="C4" s="71" t="s">
        <v>102</v>
      </c>
      <c r="D4" s="72"/>
      <c r="E4" s="91" t="s">
        <v>210</v>
      </c>
      <c r="F4" s="72"/>
      <c r="G4" s="91" t="s">
        <v>6</v>
      </c>
      <c r="H4" s="72"/>
      <c r="I4" s="71" t="s">
        <v>223</v>
      </c>
      <c r="J4" s="91" t="s">
        <v>228</v>
      </c>
      <c r="K4" s="72"/>
      <c r="L4" s="72"/>
      <c r="M4" s="92"/>
      <c r="N4" s="5"/>
    </row>
    <row r="5" spans="1:14" ht="12.75">
      <c r="A5" s="94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92"/>
      <c r="N5" s="5"/>
    </row>
    <row r="6" spans="1:14" ht="12.75">
      <c r="A6" s="88" t="s">
        <v>3</v>
      </c>
      <c r="B6" s="72"/>
      <c r="C6" s="71" t="s">
        <v>103</v>
      </c>
      <c r="D6" s="72"/>
      <c r="E6" s="91" t="s">
        <v>211</v>
      </c>
      <c r="F6" s="72"/>
      <c r="G6" s="91" t="s">
        <v>6</v>
      </c>
      <c r="H6" s="72"/>
      <c r="I6" s="71" t="s">
        <v>224</v>
      </c>
      <c r="J6" s="91" t="s">
        <v>228</v>
      </c>
      <c r="K6" s="72"/>
      <c r="L6" s="72"/>
      <c r="M6" s="92"/>
      <c r="N6" s="5"/>
    </row>
    <row r="7" spans="1:14" ht="12.75">
      <c r="A7" s="94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92"/>
      <c r="N7" s="5"/>
    </row>
    <row r="8" spans="1:14" ht="12.75">
      <c r="A8" s="88" t="s">
        <v>4</v>
      </c>
      <c r="B8" s="72"/>
      <c r="C8" s="71" t="s">
        <v>6</v>
      </c>
      <c r="D8" s="72"/>
      <c r="E8" s="91" t="s">
        <v>212</v>
      </c>
      <c r="F8" s="72"/>
      <c r="G8" s="91" t="s">
        <v>213</v>
      </c>
      <c r="H8" s="72"/>
      <c r="I8" s="71" t="s">
        <v>225</v>
      </c>
      <c r="J8" s="71" t="s">
        <v>229</v>
      </c>
      <c r="K8" s="72"/>
      <c r="L8" s="72"/>
      <c r="M8" s="92"/>
      <c r="N8" s="5"/>
    </row>
    <row r="9" spans="1:14" ht="12.7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3"/>
      <c r="N9" s="5"/>
    </row>
    <row r="10" spans="1:64" ht="12.75">
      <c r="A10" s="1" t="s">
        <v>5</v>
      </c>
      <c r="B10" s="11" t="s">
        <v>50</v>
      </c>
      <c r="C10" s="77" t="s">
        <v>104</v>
      </c>
      <c r="D10" s="78"/>
      <c r="E10" s="78"/>
      <c r="F10" s="79"/>
      <c r="G10" s="11" t="s">
        <v>214</v>
      </c>
      <c r="H10" s="24" t="s">
        <v>221</v>
      </c>
      <c r="I10" s="29" t="s">
        <v>226</v>
      </c>
      <c r="J10" s="80" t="s">
        <v>230</v>
      </c>
      <c r="K10" s="81"/>
      <c r="L10" s="82"/>
      <c r="M10" s="34" t="s">
        <v>235</v>
      </c>
      <c r="N10" s="42"/>
      <c r="BK10" s="43" t="s">
        <v>276</v>
      </c>
      <c r="BL10" s="48" t="s">
        <v>279</v>
      </c>
    </row>
    <row r="11" spans="1:62" ht="12.75">
      <c r="A11" s="2" t="s">
        <v>6</v>
      </c>
      <c r="B11" s="12" t="s">
        <v>6</v>
      </c>
      <c r="C11" s="83" t="s">
        <v>105</v>
      </c>
      <c r="D11" s="84"/>
      <c r="E11" s="84"/>
      <c r="F11" s="85"/>
      <c r="G11" s="12" t="s">
        <v>6</v>
      </c>
      <c r="H11" s="12" t="s">
        <v>6</v>
      </c>
      <c r="I11" s="30" t="s">
        <v>227</v>
      </c>
      <c r="J11" s="31" t="s">
        <v>231</v>
      </c>
      <c r="K11" s="32" t="s">
        <v>233</v>
      </c>
      <c r="L11" s="33" t="s">
        <v>234</v>
      </c>
      <c r="M11" s="35" t="s">
        <v>236</v>
      </c>
      <c r="N11" s="42"/>
      <c r="Z11" s="43" t="s">
        <v>239</v>
      </c>
      <c r="AA11" s="43" t="s">
        <v>240</v>
      </c>
      <c r="AB11" s="43" t="s">
        <v>241</v>
      </c>
      <c r="AC11" s="43" t="s">
        <v>242</v>
      </c>
      <c r="AD11" s="43" t="s">
        <v>243</v>
      </c>
      <c r="AE11" s="43" t="s">
        <v>244</v>
      </c>
      <c r="AF11" s="43" t="s">
        <v>245</v>
      </c>
      <c r="AG11" s="43" t="s">
        <v>246</v>
      </c>
      <c r="AH11" s="43" t="s">
        <v>247</v>
      </c>
      <c r="BH11" s="43" t="s">
        <v>273</v>
      </c>
      <c r="BI11" s="43" t="s">
        <v>274</v>
      </c>
      <c r="BJ11" s="43" t="s">
        <v>275</v>
      </c>
    </row>
    <row r="12" spans="1:47" ht="12.75">
      <c r="A12" s="3"/>
      <c r="B12" s="13" t="s">
        <v>19</v>
      </c>
      <c r="C12" s="86" t="s">
        <v>106</v>
      </c>
      <c r="D12" s="87"/>
      <c r="E12" s="87"/>
      <c r="F12" s="87"/>
      <c r="G12" s="22" t="s">
        <v>6</v>
      </c>
      <c r="H12" s="22" t="s">
        <v>6</v>
      </c>
      <c r="I12" s="22" t="s">
        <v>6</v>
      </c>
      <c r="J12" s="49">
        <f>SUM(J13:J15)</f>
        <v>0</v>
      </c>
      <c r="K12" s="49">
        <f>SUM(K13:K15)</f>
        <v>0</v>
      </c>
      <c r="L12" s="49">
        <f>SUM(L13:L15)</f>
        <v>0</v>
      </c>
      <c r="M12" s="36"/>
      <c r="N12" s="5"/>
      <c r="AI12" s="43"/>
      <c r="AS12" s="50">
        <f>SUM(AJ13:AJ15)</f>
        <v>0</v>
      </c>
      <c r="AT12" s="50">
        <f>SUM(AK13:AK15)</f>
        <v>0</v>
      </c>
      <c r="AU12" s="50">
        <f>SUM(AL13:AL15)</f>
        <v>0</v>
      </c>
    </row>
    <row r="13" spans="1:64" ht="12.75">
      <c r="A13" s="4" t="s">
        <v>7</v>
      </c>
      <c r="B13" s="14" t="s">
        <v>51</v>
      </c>
      <c r="C13" s="67" t="s">
        <v>107</v>
      </c>
      <c r="D13" s="68"/>
      <c r="E13" s="68"/>
      <c r="F13" s="68"/>
      <c r="G13" s="14" t="s">
        <v>215</v>
      </c>
      <c r="H13" s="25">
        <v>42.435</v>
      </c>
      <c r="I13" s="25">
        <v>0</v>
      </c>
      <c r="J13" s="25">
        <f>H13*AO13</f>
        <v>0</v>
      </c>
      <c r="K13" s="25">
        <f>H13*AP13</f>
        <v>0</v>
      </c>
      <c r="L13" s="25">
        <f>H13*I13</f>
        <v>0</v>
      </c>
      <c r="M13" s="37" t="s">
        <v>237</v>
      </c>
      <c r="N13" s="5"/>
      <c r="Z13" s="44">
        <f>IF(AQ13="5",BJ13,0)</f>
        <v>0</v>
      </c>
      <c r="AB13" s="44">
        <f>IF(AQ13="1",BH13,0)</f>
        <v>0</v>
      </c>
      <c r="AC13" s="44">
        <f>IF(AQ13="1",BI13,0)</f>
        <v>0</v>
      </c>
      <c r="AD13" s="44">
        <f>IF(AQ13="7",BH13,0)</f>
        <v>0</v>
      </c>
      <c r="AE13" s="44">
        <f>IF(AQ13="7",BI13,0)</f>
        <v>0</v>
      </c>
      <c r="AF13" s="44">
        <f>IF(AQ13="2",BH13,0)</f>
        <v>0</v>
      </c>
      <c r="AG13" s="44">
        <f>IF(AQ13="2",BI13,0)</f>
        <v>0</v>
      </c>
      <c r="AH13" s="44">
        <f>IF(AQ13="0",BJ13,0)</f>
        <v>0</v>
      </c>
      <c r="AI13" s="43"/>
      <c r="AJ13" s="25">
        <f>IF(AN13=0,L13,0)</f>
        <v>0</v>
      </c>
      <c r="AK13" s="25">
        <f>IF(AN13=15,L13,0)</f>
        <v>0</v>
      </c>
      <c r="AL13" s="25">
        <f>IF(AN13=21,L13,0)</f>
        <v>0</v>
      </c>
      <c r="AN13" s="44">
        <v>21</v>
      </c>
      <c r="AO13" s="44">
        <f>I13*0</f>
        <v>0</v>
      </c>
      <c r="AP13" s="44">
        <f>I13*(1-0)</f>
        <v>0</v>
      </c>
      <c r="AQ13" s="45" t="s">
        <v>7</v>
      </c>
      <c r="AV13" s="44">
        <f>AW13+AX13</f>
        <v>0</v>
      </c>
      <c r="AW13" s="44">
        <f>H13*AO13</f>
        <v>0</v>
      </c>
      <c r="AX13" s="44">
        <f>H13*AP13</f>
        <v>0</v>
      </c>
      <c r="AY13" s="47" t="s">
        <v>248</v>
      </c>
      <c r="AZ13" s="47" t="s">
        <v>264</v>
      </c>
      <c r="BA13" s="43" t="s">
        <v>272</v>
      </c>
      <c r="BC13" s="44">
        <f>AW13+AX13</f>
        <v>0</v>
      </c>
      <c r="BD13" s="44">
        <f>I13/(100-BE13)*100</f>
        <v>0</v>
      </c>
      <c r="BE13" s="44">
        <v>0</v>
      </c>
      <c r="BF13" s="44">
        <f>13</f>
        <v>13</v>
      </c>
      <c r="BH13" s="25">
        <f>H13*AO13</f>
        <v>0</v>
      </c>
      <c r="BI13" s="25">
        <f>H13*AP13</f>
        <v>0</v>
      </c>
      <c r="BJ13" s="25">
        <f>H13*I13</f>
        <v>0</v>
      </c>
      <c r="BK13" s="25" t="s">
        <v>277</v>
      </c>
      <c r="BL13" s="44">
        <v>13</v>
      </c>
    </row>
    <row r="14" spans="1:14" ht="12.75">
      <c r="A14" s="5"/>
      <c r="C14" s="18" t="s">
        <v>108</v>
      </c>
      <c r="F14" s="20"/>
      <c r="H14" s="26">
        <v>42.435</v>
      </c>
      <c r="M14" s="38"/>
      <c r="N14" s="5"/>
    </row>
    <row r="15" spans="1:64" ht="12.75">
      <c r="A15" s="4" t="s">
        <v>8</v>
      </c>
      <c r="B15" s="14" t="s">
        <v>52</v>
      </c>
      <c r="C15" s="67" t="s">
        <v>109</v>
      </c>
      <c r="D15" s="68"/>
      <c r="E15" s="68"/>
      <c r="F15" s="68"/>
      <c r="G15" s="14" t="s">
        <v>215</v>
      </c>
      <c r="H15" s="25">
        <v>56.9685</v>
      </c>
      <c r="I15" s="25">
        <v>0</v>
      </c>
      <c r="J15" s="25">
        <f>H15*AO15</f>
        <v>0</v>
      </c>
      <c r="K15" s="25">
        <f>H15*AP15</f>
        <v>0</v>
      </c>
      <c r="L15" s="25">
        <f>H15*I15</f>
        <v>0</v>
      </c>
      <c r="M15" s="37" t="s">
        <v>237</v>
      </c>
      <c r="N15" s="5"/>
      <c r="Z15" s="44">
        <f>IF(AQ15="5",BJ15,0)</f>
        <v>0</v>
      </c>
      <c r="AB15" s="44">
        <f>IF(AQ15="1",BH15,0)</f>
        <v>0</v>
      </c>
      <c r="AC15" s="44">
        <f>IF(AQ15="1",BI15,0)</f>
        <v>0</v>
      </c>
      <c r="AD15" s="44">
        <f>IF(AQ15="7",BH15,0)</f>
        <v>0</v>
      </c>
      <c r="AE15" s="44">
        <f>IF(AQ15="7",BI15,0)</f>
        <v>0</v>
      </c>
      <c r="AF15" s="44">
        <f>IF(AQ15="2",BH15,0)</f>
        <v>0</v>
      </c>
      <c r="AG15" s="44">
        <f>IF(AQ15="2",BI15,0)</f>
        <v>0</v>
      </c>
      <c r="AH15" s="44">
        <f>IF(AQ15="0",BJ15,0)</f>
        <v>0</v>
      </c>
      <c r="AI15" s="43"/>
      <c r="AJ15" s="25">
        <f>IF(AN15=0,L15,0)</f>
        <v>0</v>
      </c>
      <c r="AK15" s="25">
        <f>IF(AN15=15,L15,0)</f>
        <v>0</v>
      </c>
      <c r="AL15" s="25">
        <f>IF(AN15=21,L15,0)</f>
        <v>0</v>
      </c>
      <c r="AN15" s="44">
        <v>21</v>
      </c>
      <c r="AO15" s="44">
        <f>I15*0</f>
        <v>0</v>
      </c>
      <c r="AP15" s="44">
        <f>I15*(1-0)</f>
        <v>0</v>
      </c>
      <c r="AQ15" s="45" t="s">
        <v>7</v>
      </c>
      <c r="AV15" s="44">
        <f>AW15+AX15</f>
        <v>0</v>
      </c>
      <c r="AW15" s="44">
        <f>H15*AO15</f>
        <v>0</v>
      </c>
      <c r="AX15" s="44">
        <f>H15*AP15</f>
        <v>0</v>
      </c>
      <c r="AY15" s="47" t="s">
        <v>248</v>
      </c>
      <c r="AZ15" s="47" t="s">
        <v>264</v>
      </c>
      <c r="BA15" s="43" t="s">
        <v>272</v>
      </c>
      <c r="BC15" s="44">
        <f>AW15+AX15</f>
        <v>0</v>
      </c>
      <c r="BD15" s="44">
        <f>I15/(100-BE15)*100</f>
        <v>0</v>
      </c>
      <c r="BE15" s="44">
        <v>0</v>
      </c>
      <c r="BF15" s="44">
        <f>15</f>
        <v>15</v>
      </c>
      <c r="BH15" s="25">
        <f>H15*AO15</f>
        <v>0</v>
      </c>
      <c r="BI15" s="25">
        <f>H15*AP15</f>
        <v>0</v>
      </c>
      <c r="BJ15" s="25">
        <f>H15*I15</f>
        <v>0</v>
      </c>
      <c r="BK15" s="25" t="s">
        <v>277</v>
      </c>
      <c r="BL15" s="44">
        <v>13</v>
      </c>
    </row>
    <row r="16" spans="1:14" ht="12.75">
      <c r="A16" s="5"/>
      <c r="C16" s="18" t="s">
        <v>110</v>
      </c>
      <c r="F16" s="20"/>
      <c r="H16" s="26">
        <v>56.9685</v>
      </c>
      <c r="M16" s="38"/>
      <c r="N16" s="5"/>
    </row>
    <row r="17" spans="1:47" ht="12.75">
      <c r="A17" s="6"/>
      <c r="B17" s="15" t="s">
        <v>22</v>
      </c>
      <c r="C17" s="73" t="s">
        <v>111</v>
      </c>
      <c r="D17" s="74"/>
      <c r="E17" s="74"/>
      <c r="F17" s="74"/>
      <c r="G17" s="23" t="s">
        <v>6</v>
      </c>
      <c r="H17" s="23" t="s">
        <v>6</v>
      </c>
      <c r="I17" s="23" t="s">
        <v>6</v>
      </c>
      <c r="J17" s="50">
        <f>SUM(J18:J25)</f>
        <v>0</v>
      </c>
      <c r="K17" s="50">
        <f>SUM(K18:K25)</f>
        <v>0</v>
      </c>
      <c r="L17" s="50">
        <f>SUM(L18:L25)</f>
        <v>0</v>
      </c>
      <c r="M17" s="39"/>
      <c r="N17" s="5"/>
      <c r="AI17" s="43"/>
      <c r="AS17" s="50">
        <f>SUM(AJ18:AJ25)</f>
        <v>0</v>
      </c>
      <c r="AT17" s="50">
        <f>SUM(AK18:AK25)</f>
        <v>0</v>
      </c>
      <c r="AU17" s="50">
        <f>SUM(AL18:AL25)</f>
        <v>0</v>
      </c>
    </row>
    <row r="18" spans="1:64" ht="12.75">
      <c r="A18" s="4" t="s">
        <v>9</v>
      </c>
      <c r="B18" s="14" t="s">
        <v>53</v>
      </c>
      <c r="C18" s="67" t="s">
        <v>112</v>
      </c>
      <c r="D18" s="68"/>
      <c r="E18" s="68"/>
      <c r="F18" s="68"/>
      <c r="G18" s="14" t="s">
        <v>215</v>
      </c>
      <c r="H18" s="25">
        <v>42.435</v>
      </c>
      <c r="I18" s="25">
        <v>0</v>
      </c>
      <c r="J18" s="25">
        <f>H18*AO18</f>
        <v>0</v>
      </c>
      <c r="K18" s="25">
        <f>H18*AP18</f>
        <v>0</v>
      </c>
      <c r="L18" s="25">
        <f>H18*I18</f>
        <v>0</v>
      </c>
      <c r="M18" s="37" t="s">
        <v>237</v>
      </c>
      <c r="N18" s="5"/>
      <c r="Z18" s="44">
        <f>IF(AQ18="5",BJ18,0)</f>
        <v>0</v>
      </c>
      <c r="AB18" s="44">
        <f>IF(AQ18="1",BH18,0)</f>
        <v>0</v>
      </c>
      <c r="AC18" s="44">
        <f>IF(AQ18="1",BI18,0)</f>
        <v>0</v>
      </c>
      <c r="AD18" s="44">
        <f>IF(AQ18="7",BH18,0)</f>
        <v>0</v>
      </c>
      <c r="AE18" s="44">
        <f>IF(AQ18="7",BI18,0)</f>
        <v>0</v>
      </c>
      <c r="AF18" s="44">
        <f>IF(AQ18="2",BH18,0)</f>
        <v>0</v>
      </c>
      <c r="AG18" s="44">
        <f>IF(AQ18="2",BI18,0)</f>
        <v>0</v>
      </c>
      <c r="AH18" s="44">
        <f>IF(AQ18="0",BJ18,0)</f>
        <v>0</v>
      </c>
      <c r="AI18" s="43"/>
      <c r="AJ18" s="25">
        <f>IF(AN18=0,L18,0)</f>
        <v>0</v>
      </c>
      <c r="AK18" s="25">
        <f>IF(AN18=15,L18,0)</f>
        <v>0</v>
      </c>
      <c r="AL18" s="25">
        <f>IF(AN18=21,L18,0)</f>
        <v>0</v>
      </c>
      <c r="AN18" s="44">
        <v>21</v>
      </c>
      <c r="AO18" s="44">
        <f>I18*0</f>
        <v>0</v>
      </c>
      <c r="AP18" s="44">
        <f>I18*(1-0)</f>
        <v>0</v>
      </c>
      <c r="AQ18" s="45" t="s">
        <v>7</v>
      </c>
      <c r="AV18" s="44">
        <f>AW18+AX18</f>
        <v>0</v>
      </c>
      <c r="AW18" s="44">
        <f>H18*AO18</f>
        <v>0</v>
      </c>
      <c r="AX18" s="44">
        <f>H18*AP18</f>
        <v>0</v>
      </c>
      <c r="AY18" s="47" t="s">
        <v>249</v>
      </c>
      <c r="AZ18" s="47" t="s">
        <v>264</v>
      </c>
      <c r="BA18" s="43" t="s">
        <v>272</v>
      </c>
      <c r="BC18" s="44">
        <f>AW18+AX18</f>
        <v>0</v>
      </c>
      <c r="BD18" s="44">
        <f>I18/(100-BE18)*100</f>
        <v>0</v>
      </c>
      <c r="BE18" s="44">
        <v>0</v>
      </c>
      <c r="BF18" s="44">
        <f>18</f>
        <v>18</v>
      </c>
      <c r="BH18" s="25">
        <f>H18*AO18</f>
        <v>0</v>
      </c>
      <c r="BI18" s="25">
        <f>H18*AP18</f>
        <v>0</v>
      </c>
      <c r="BJ18" s="25">
        <f>H18*I18</f>
        <v>0</v>
      </c>
      <c r="BK18" s="25" t="s">
        <v>277</v>
      </c>
      <c r="BL18" s="44">
        <v>16</v>
      </c>
    </row>
    <row r="19" spans="1:14" ht="12.75">
      <c r="A19" s="5"/>
      <c r="C19" s="18" t="s">
        <v>113</v>
      </c>
      <c r="F19" s="20"/>
      <c r="H19" s="26">
        <v>42.435</v>
      </c>
      <c r="M19" s="38"/>
      <c r="N19" s="5"/>
    </row>
    <row r="20" spans="1:64" ht="12.75">
      <c r="A20" s="4" t="s">
        <v>10</v>
      </c>
      <c r="B20" s="14" t="s">
        <v>54</v>
      </c>
      <c r="C20" s="67" t="s">
        <v>114</v>
      </c>
      <c r="D20" s="68"/>
      <c r="E20" s="68"/>
      <c r="F20" s="68"/>
      <c r="G20" s="14" t="s">
        <v>215</v>
      </c>
      <c r="H20" s="25">
        <v>99.4035</v>
      </c>
      <c r="I20" s="25">
        <v>0</v>
      </c>
      <c r="J20" s="25">
        <f>H20*AO20</f>
        <v>0</v>
      </c>
      <c r="K20" s="25">
        <f>H20*AP20</f>
        <v>0</v>
      </c>
      <c r="L20" s="25">
        <f>H20*I20</f>
        <v>0</v>
      </c>
      <c r="M20" s="37" t="s">
        <v>237</v>
      </c>
      <c r="N20" s="5"/>
      <c r="Z20" s="44">
        <f>IF(AQ20="5",BJ20,0)</f>
        <v>0</v>
      </c>
      <c r="AB20" s="44">
        <f>IF(AQ20="1",BH20,0)</f>
        <v>0</v>
      </c>
      <c r="AC20" s="44">
        <f>IF(AQ20="1",BI20,0)</f>
        <v>0</v>
      </c>
      <c r="AD20" s="44">
        <f>IF(AQ20="7",BH20,0)</f>
        <v>0</v>
      </c>
      <c r="AE20" s="44">
        <f>IF(AQ20="7",BI20,0)</f>
        <v>0</v>
      </c>
      <c r="AF20" s="44">
        <f>IF(AQ20="2",BH20,0)</f>
        <v>0</v>
      </c>
      <c r="AG20" s="44">
        <f>IF(AQ20="2",BI20,0)</f>
        <v>0</v>
      </c>
      <c r="AH20" s="44">
        <f>IF(AQ20="0",BJ20,0)</f>
        <v>0</v>
      </c>
      <c r="AI20" s="43"/>
      <c r="AJ20" s="25">
        <f>IF(AN20=0,L20,0)</f>
        <v>0</v>
      </c>
      <c r="AK20" s="25">
        <f>IF(AN20=15,L20,0)</f>
        <v>0</v>
      </c>
      <c r="AL20" s="25">
        <f>IF(AN20=21,L20,0)</f>
        <v>0</v>
      </c>
      <c r="AN20" s="44">
        <v>21</v>
      </c>
      <c r="AO20" s="44">
        <f>I20*0</f>
        <v>0</v>
      </c>
      <c r="AP20" s="44">
        <f>I20*(1-0)</f>
        <v>0</v>
      </c>
      <c r="AQ20" s="45" t="s">
        <v>7</v>
      </c>
      <c r="AV20" s="44">
        <f>AW20+AX20</f>
        <v>0</v>
      </c>
      <c r="AW20" s="44">
        <f>H20*AO20</f>
        <v>0</v>
      </c>
      <c r="AX20" s="44">
        <f>H20*AP20</f>
        <v>0</v>
      </c>
      <c r="AY20" s="47" t="s">
        <v>249</v>
      </c>
      <c r="AZ20" s="47" t="s">
        <v>264</v>
      </c>
      <c r="BA20" s="43" t="s">
        <v>272</v>
      </c>
      <c r="BC20" s="44">
        <f>AW20+AX20</f>
        <v>0</v>
      </c>
      <c r="BD20" s="44">
        <f>I20/(100-BE20)*100</f>
        <v>0</v>
      </c>
      <c r="BE20" s="44">
        <v>0</v>
      </c>
      <c r="BF20" s="44">
        <f>20</f>
        <v>20</v>
      </c>
      <c r="BH20" s="25">
        <f>H20*AO20</f>
        <v>0</v>
      </c>
      <c r="BI20" s="25">
        <f>H20*AP20</f>
        <v>0</v>
      </c>
      <c r="BJ20" s="25">
        <f>H20*I20</f>
        <v>0</v>
      </c>
      <c r="BK20" s="25" t="s">
        <v>277</v>
      </c>
      <c r="BL20" s="44">
        <v>16</v>
      </c>
    </row>
    <row r="21" spans="1:14" ht="12.75">
      <c r="A21" s="5"/>
      <c r="C21" s="18" t="s">
        <v>113</v>
      </c>
      <c r="F21" s="20"/>
      <c r="H21" s="26">
        <v>42.435</v>
      </c>
      <c r="M21" s="38"/>
      <c r="N21" s="5"/>
    </row>
    <row r="22" spans="1:14" ht="12.75">
      <c r="A22" s="5"/>
      <c r="C22" s="18" t="s">
        <v>115</v>
      </c>
      <c r="F22" s="20"/>
      <c r="H22" s="26">
        <v>56.9685</v>
      </c>
      <c r="M22" s="38"/>
      <c r="N22" s="5"/>
    </row>
    <row r="23" spans="1:64" ht="12.75">
      <c r="A23" s="4" t="s">
        <v>11</v>
      </c>
      <c r="B23" s="14" t="s">
        <v>55</v>
      </c>
      <c r="C23" s="67" t="s">
        <v>116</v>
      </c>
      <c r="D23" s="68"/>
      <c r="E23" s="68"/>
      <c r="F23" s="68"/>
      <c r="G23" s="14" t="s">
        <v>215</v>
      </c>
      <c r="H23" s="25">
        <v>99.4035</v>
      </c>
      <c r="I23" s="25">
        <v>0</v>
      </c>
      <c r="J23" s="25">
        <f>H23*AO23</f>
        <v>0</v>
      </c>
      <c r="K23" s="25">
        <f>H23*AP23</f>
        <v>0</v>
      </c>
      <c r="L23" s="25">
        <f>H23*I23</f>
        <v>0</v>
      </c>
      <c r="M23" s="37" t="s">
        <v>237</v>
      </c>
      <c r="N23" s="5"/>
      <c r="Z23" s="44">
        <f>IF(AQ23="5",BJ23,0)</f>
        <v>0</v>
      </c>
      <c r="AB23" s="44">
        <f>IF(AQ23="1",BH23,0)</f>
        <v>0</v>
      </c>
      <c r="AC23" s="44">
        <f>IF(AQ23="1",BI23,0)</f>
        <v>0</v>
      </c>
      <c r="AD23" s="44">
        <f>IF(AQ23="7",BH23,0)</f>
        <v>0</v>
      </c>
      <c r="AE23" s="44">
        <f>IF(AQ23="7",BI23,0)</f>
        <v>0</v>
      </c>
      <c r="AF23" s="44">
        <f>IF(AQ23="2",BH23,0)</f>
        <v>0</v>
      </c>
      <c r="AG23" s="44">
        <f>IF(AQ23="2",BI23,0)</f>
        <v>0</v>
      </c>
      <c r="AH23" s="44">
        <f>IF(AQ23="0",BJ23,0)</f>
        <v>0</v>
      </c>
      <c r="AI23" s="43"/>
      <c r="AJ23" s="25">
        <f>IF(AN23=0,L23,0)</f>
        <v>0</v>
      </c>
      <c r="AK23" s="25">
        <f>IF(AN23=15,L23,0)</f>
        <v>0</v>
      </c>
      <c r="AL23" s="25">
        <f>IF(AN23=21,L23,0)</f>
        <v>0</v>
      </c>
      <c r="AN23" s="44">
        <v>21</v>
      </c>
      <c r="AO23" s="44">
        <f>I23*0</f>
        <v>0</v>
      </c>
      <c r="AP23" s="44">
        <f>I23*(1-0)</f>
        <v>0</v>
      </c>
      <c r="AQ23" s="45" t="s">
        <v>7</v>
      </c>
      <c r="AV23" s="44">
        <f>AW23+AX23</f>
        <v>0</v>
      </c>
      <c r="AW23" s="44">
        <f>H23*AO23</f>
        <v>0</v>
      </c>
      <c r="AX23" s="44">
        <f>H23*AP23</f>
        <v>0</v>
      </c>
      <c r="AY23" s="47" t="s">
        <v>249</v>
      </c>
      <c r="AZ23" s="47" t="s">
        <v>264</v>
      </c>
      <c r="BA23" s="43" t="s">
        <v>272</v>
      </c>
      <c r="BC23" s="44">
        <f>AW23+AX23</f>
        <v>0</v>
      </c>
      <c r="BD23" s="44">
        <f>I23/(100-BE23)*100</f>
        <v>0</v>
      </c>
      <c r="BE23" s="44">
        <v>0</v>
      </c>
      <c r="BF23" s="44">
        <f>23</f>
        <v>23</v>
      </c>
      <c r="BH23" s="25">
        <f>H23*AO23</f>
        <v>0</v>
      </c>
      <c r="BI23" s="25">
        <f>H23*AP23</f>
        <v>0</v>
      </c>
      <c r="BJ23" s="25">
        <f>H23*I23</f>
        <v>0</v>
      </c>
      <c r="BK23" s="25" t="s">
        <v>277</v>
      </c>
      <c r="BL23" s="44">
        <v>16</v>
      </c>
    </row>
    <row r="24" spans="1:14" ht="12.75">
      <c r="A24" s="5"/>
      <c r="C24" s="18" t="s">
        <v>117</v>
      </c>
      <c r="F24" s="20"/>
      <c r="H24" s="26">
        <v>99.4035</v>
      </c>
      <c r="M24" s="38"/>
      <c r="N24" s="5"/>
    </row>
    <row r="25" spans="1:64" ht="12.75">
      <c r="A25" s="4" t="s">
        <v>12</v>
      </c>
      <c r="B25" s="14" t="s">
        <v>56</v>
      </c>
      <c r="C25" s="67" t="s">
        <v>118</v>
      </c>
      <c r="D25" s="68"/>
      <c r="E25" s="68"/>
      <c r="F25" s="68"/>
      <c r="G25" s="14" t="s">
        <v>215</v>
      </c>
      <c r="H25" s="25">
        <v>1888.6665</v>
      </c>
      <c r="I25" s="25">
        <v>0</v>
      </c>
      <c r="J25" s="25">
        <f>H25*AO25</f>
        <v>0</v>
      </c>
      <c r="K25" s="25">
        <f>H25*AP25</f>
        <v>0</v>
      </c>
      <c r="L25" s="25">
        <f>H25*I25</f>
        <v>0</v>
      </c>
      <c r="M25" s="37" t="s">
        <v>237</v>
      </c>
      <c r="N25" s="5"/>
      <c r="Z25" s="44">
        <f>IF(AQ25="5",BJ25,0)</f>
        <v>0</v>
      </c>
      <c r="AB25" s="44">
        <f>IF(AQ25="1",BH25,0)</f>
        <v>0</v>
      </c>
      <c r="AC25" s="44">
        <f>IF(AQ25="1",BI25,0)</f>
        <v>0</v>
      </c>
      <c r="AD25" s="44">
        <f>IF(AQ25="7",BH25,0)</f>
        <v>0</v>
      </c>
      <c r="AE25" s="44">
        <f>IF(AQ25="7",BI25,0)</f>
        <v>0</v>
      </c>
      <c r="AF25" s="44">
        <f>IF(AQ25="2",BH25,0)</f>
        <v>0</v>
      </c>
      <c r="AG25" s="44">
        <f>IF(AQ25="2",BI25,0)</f>
        <v>0</v>
      </c>
      <c r="AH25" s="44">
        <f>IF(AQ25="0",BJ25,0)</f>
        <v>0</v>
      </c>
      <c r="AI25" s="43"/>
      <c r="AJ25" s="25">
        <f>IF(AN25=0,L25,0)</f>
        <v>0</v>
      </c>
      <c r="AK25" s="25">
        <f>IF(AN25=15,L25,0)</f>
        <v>0</v>
      </c>
      <c r="AL25" s="25">
        <f>IF(AN25=21,L25,0)</f>
        <v>0</v>
      </c>
      <c r="AN25" s="44">
        <v>21</v>
      </c>
      <c r="AO25" s="44">
        <f>I25*0</f>
        <v>0</v>
      </c>
      <c r="AP25" s="44">
        <f>I25*(1-0)</f>
        <v>0</v>
      </c>
      <c r="AQ25" s="45" t="s">
        <v>7</v>
      </c>
      <c r="AV25" s="44">
        <f>AW25+AX25</f>
        <v>0</v>
      </c>
      <c r="AW25" s="44">
        <f>H25*AO25</f>
        <v>0</v>
      </c>
      <c r="AX25" s="44">
        <f>H25*AP25</f>
        <v>0</v>
      </c>
      <c r="AY25" s="47" t="s">
        <v>249</v>
      </c>
      <c r="AZ25" s="47" t="s">
        <v>264</v>
      </c>
      <c r="BA25" s="43" t="s">
        <v>272</v>
      </c>
      <c r="BC25" s="44">
        <f>AW25+AX25</f>
        <v>0</v>
      </c>
      <c r="BD25" s="44">
        <f>I25/(100-BE25)*100</f>
        <v>0</v>
      </c>
      <c r="BE25" s="44">
        <v>0</v>
      </c>
      <c r="BF25" s="44">
        <f>25</f>
        <v>25</v>
      </c>
      <c r="BH25" s="25">
        <f>H25*AO25</f>
        <v>0</v>
      </c>
      <c r="BI25" s="25">
        <f>H25*AP25</f>
        <v>0</v>
      </c>
      <c r="BJ25" s="25">
        <f>H25*I25</f>
        <v>0</v>
      </c>
      <c r="BK25" s="25" t="s">
        <v>277</v>
      </c>
      <c r="BL25" s="44">
        <v>16</v>
      </c>
    </row>
    <row r="26" spans="1:14" ht="12.75">
      <c r="A26" s="5"/>
      <c r="C26" s="18" t="s">
        <v>119</v>
      </c>
      <c r="F26" s="20"/>
      <c r="H26" s="26">
        <v>1888.6665</v>
      </c>
      <c r="M26" s="38"/>
      <c r="N26" s="5"/>
    </row>
    <row r="27" spans="1:47" ht="12.75">
      <c r="A27" s="6"/>
      <c r="B27" s="15" t="s">
        <v>23</v>
      </c>
      <c r="C27" s="73" t="s">
        <v>120</v>
      </c>
      <c r="D27" s="74"/>
      <c r="E27" s="74"/>
      <c r="F27" s="74"/>
      <c r="G27" s="23" t="s">
        <v>6</v>
      </c>
      <c r="H27" s="23" t="s">
        <v>6</v>
      </c>
      <c r="I27" s="23" t="s">
        <v>6</v>
      </c>
      <c r="J27" s="50">
        <f>SUM(J28:J30)</f>
        <v>0</v>
      </c>
      <c r="K27" s="50">
        <f>SUM(K28:K30)</f>
        <v>0</v>
      </c>
      <c r="L27" s="50">
        <f>SUM(L28:L30)</f>
        <v>0</v>
      </c>
      <c r="M27" s="39"/>
      <c r="N27" s="5"/>
      <c r="AI27" s="43"/>
      <c r="AS27" s="50">
        <f>SUM(AJ28:AJ30)</f>
        <v>0</v>
      </c>
      <c r="AT27" s="50">
        <f>SUM(AK28:AK30)</f>
        <v>0</v>
      </c>
      <c r="AU27" s="50">
        <f>SUM(AL28:AL30)</f>
        <v>0</v>
      </c>
    </row>
    <row r="28" spans="1:64" ht="12.75">
      <c r="A28" s="4" t="s">
        <v>13</v>
      </c>
      <c r="B28" s="14" t="s">
        <v>57</v>
      </c>
      <c r="C28" s="67" t="s">
        <v>121</v>
      </c>
      <c r="D28" s="68"/>
      <c r="E28" s="68"/>
      <c r="F28" s="68"/>
      <c r="G28" s="14" t="s">
        <v>215</v>
      </c>
      <c r="H28" s="25">
        <v>99.4035</v>
      </c>
      <c r="I28" s="25">
        <v>0</v>
      </c>
      <c r="J28" s="25">
        <f>H28*AO28</f>
        <v>0</v>
      </c>
      <c r="K28" s="25">
        <f>H28*AP28</f>
        <v>0</v>
      </c>
      <c r="L28" s="25">
        <f>H28*I28</f>
        <v>0</v>
      </c>
      <c r="M28" s="37" t="s">
        <v>237</v>
      </c>
      <c r="N28" s="5"/>
      <c r="Z28" s="44">
        <f>IF(AQ28="5",BJ28,0)</f>
        <v>0</v>
      </c>
      <c r="AB28" s="44">
        <f>IF(AQ28="1",BH28,0)</f>
        <v>0</v>
      </c>
      <c r="AC28" s="44">
        <f>IF(AQ28="1",BI28,0)</f>
        <v>0</v>
      </c>
      <c r="AD28" s="44">
        <f>IF(AQ28="7",BH28,0)</f>
        <v>0</v>
      </c>
      <c r="AE28" s="44">
        <f>IF(AQ28="7",BI28,0)</f>
        <v>0</v>
      </c>
      <c r="AF28" s="44">
        <f>IF(AQ28="2",BH28,0)</f>
        <v>0</v>
      </c>
      <c r="AG28" s="44">
        <f>IF(AQ28="2",BI28,0)</f>
        <v>0</v>
      </c>
      <c r="AH28" s="44">
        <f>IF(AQ28="0",BJ28,0)</f>
        <v>0</v>
      </c>
      <c r="AI28" s="43"/>
      <c r="AJ28" s="25">
        <f>IF(AN28=0,L28,0)</f>
        <v>0</v>
      </c>
      <c r="AK28" s="25">
        <f>IF(AN28=15,L28,0)</f>
        <v>0</v>
      </c>
      <c r="AL28" s="25">
        <f>IF(AN28=21,L28,0)</f>
        <v>0</v>
      </c>
      <c r="AN28" s="44">
        <v>21</v>
      </c>
      <c r="AO28" s="44">
        <f>I28*0</f>
        <v>0</v>
      </c>
      <c r="AP28" s="44">
        <f>I28*(1-0)</f>
        <v>0</v>
      </c>
      <c r="AQ28" s="45" t="s">
        <v>7</v>
      </c>
      <c r="AV28" s="44">
        <f>AW28+AX28</f>
        <v>0</v>
      </c>
      <c r="AW28" s="44">
        <f>H28*AO28</f>
        <v>0</v>
      </c>
      <c r="AX28" s="44">
        <f>H28*AP28</f>
        <v>0</v>
      </c>
      <c r="AY28" s="47" t="s">
        <v>250</v>
      </c>
      <c r="AZ28" s="47" t="s">
        <v>264</v>
      </c>
      <c r="BA28" s="43" t="s">
        <v>272</v>
      </c>
      <c r="BC28" s="44">
        <f>AW28+AX28</f>
        <v>0</v>
      </c>
      <c r="BD28" s="44">
        <f>I28/(100-BE28)*100</f>
        <v>0</v>
      </c>
      <c r="BE28" s="44">
        <v>0</v>
      </c>
      <c r="BF28" s="44">
        <f>28</f>
        <v>28</v>
      </c>
      <c r="BH28" s="25">
        <f>H28*AO28</f>
        <v>0</v>
      </c>
      <c r="BI28" s="25">
        <f>H28*AP28</f>
        <v>0</v>
      </c>
      <c r="BJ28" s="25">
        <f>H28*I28</f>
        <v>0</v>
      </c>
      <c r="BK28" s="25" t="s">
        <v>277</v>
      </c>
      <c r="BL28" s="44">
        <v>17</v>
      </c>
    </row>
    <row r="29" spans="1:14" ht="12.75">
      <c r="A29" s="5"/>
      <c r="C29" s="18" t="s">
        <v>117</v>
      </c>
      <c r="F29" s="20"/>
      <c r="H29" s="26">
        <v>99.4035</v>
      </c>
      <c r="M29" s="38"/>
      <c r="N29" s="5"/>
    </row>
    <row r="30" spans="1:64" ht="12.75">
      <c r="A30" s="4" t="s">
        <v>14</v>
      </c>
      <c r="B30" s="14" t="s">
        <v>58</v>
      </c>
      <c r="C30" s="67" t="s">
        <v>122</v>
      </c>
      <c r="D30" s="68"/>
      <c r="E30" s="68"/>
      <c r="F30" s="68"/>
      <c r="G30" s="14" t="s">
        <v>215</v>
      </c>
      <c r="H30" s="25">
        <v>99.4035</v>
      </c>
      <c r="I30" s="25">
        <v>0</v>
      </c>
      <c r="J30" s="25">
        <f>H30*AO30</f>
        <v>0</v>
      </c>
      <c r="K30" s="25">
        <f>H30*AP30</f>
        <v>0</v>
      </c>
      <c r="L30" s="25">
        <f>H30*I30</f>
        <v>0</v>
      </c>
      <c r="M30" s="37" t="s">
        <v>237</v>
      </c>
      <c r="N30" s="5"/>
      <c r="Z30" s="44">
        <f>IF(AQ30="5",BJ30,0)</f>
        <v>0</v>
      </c>
      <c r="AB30" s="44">
        <f>IF(AQ30="1",BH30,0)</f>
        <v>0</v>
      </c>
      <c r="AC30" s="44">
        <f>IF(AQ30="1",BI30,0)</f>
        <v>0</v>
      </c>
      <c r="AD30" s="44">
        <f>IF(AQ30="7",BH30,0)</f>
        <v>0</v>
      </c>
      <c r="AE30" s="44">
        <f>IF(AQ30="7",BI30,0)</f>
        <v>0</v>
      </c>
      <c r="AF30" s="44">
        <f>IF(AQ30="2",BH30,0)</f>
        <v>0</v>
      </c>
      <c r="AG30" s="44">
        <f>IF(AQ30="2",BI30,0)</f>
        <v>0</v>
      </c>
      <c r="AH30" s="44">
        <f>IF(AQ30="0",BJ30,0)</f>
        <v>0</v>
      </c>
      <c r="AI30" s="43"/>
      <c r="AJ30" s="25">
        <f>IF(AN30=0,L30,0)</f>
        <v>0</v>
      </c>
      <c r="AK30" s="25">
        <f>IF(AN30=15,L30,0)</f>
        <v>0</v>
      </c>
      <c r="AL30" s="25">
        <f>IF(AN30=21,L30,0)</f>
        <v>0</v>
      </c>
      <c r="AN30" s="44">
        <v>21</v>
      </c>
      <c r="AO30" s="44">
        <f>I30*0</f>
        <v>0</v>
      </c>
      <c r="AP30" s="44">
        <f>I30*(1-0)</f>
        <v>0</v>
      </c>
      <c r="AQ30" s="45" t="s">
        <v>7</v>
      </c>
      <c r="AV30" s="44">
        <f>AW30+AX30</f>
        <v>0</v>
      </c>
      <c r="AW30" s="44">
        <f>H30*AO30</f>
        <v>0</v>
      </c>
      <c r="AX30" s="44">
        <f>H30*AP30</f>
        <v>0</v>
      </c>
      <c r="AY30" s="47" t="s">
        <v>250</v>
      </c>
      <c r="AZ30" s="47" t="s">
        <v>264</v>
      </c>
      <c r="BA30" s="43" t="s">
        <v>272</v>
      </c>
      <c r="BC30" s="44">
        <f>AW30+AX30</f>
        <v>0</v>
      </c>
      <c r="BD30" s="44">
        <f>I30/(100-BE30)*100</f>
        <v>0</v>
      </c>
      <c r="BE30" s="44">
        <v>0</v>
      </c>
      <c r="BF30" s="44">
        <f>30</f>
        <v>30</v>
      </c>
      <c r="BH30" s="25">
        <f>H30*AO30</f>
        <v>0</v>
      </c>
      <c r="BI30" s="25">
        <f>H30*AP30</f>
        <v>0</v>
      </c>
      <c r="BJ30" s="25">
        <f>H30*I30</f>
        <v>0</v>
      </c>
      <c r="BK30" s="25" t="s">
        <v>277</v>
      </c>
      <c r="BL30" s="44">
        <v>17</v>
      </c>
    </row>
    <row r="31" spans="1:14" ht="12.75">
      <c r="A31" s="5"/>
      <c r="C31" s="18" t="s">
        <v>117</v>
      </c>
      <c r="F31" s="20"/>
      <c r="H31" s="26">
        <v>99.4035</v>
      </c>
      <c r="M31" s="38"/>
      <c r="N31" s="5"/>
    </row>
    <row r="32" spans="1:47" ht="12.75">
      <c r="A32" s="6"/>
      <c r="B32" s="15" t="s">
        <v>24</v>
      </c>
      <c r="C32" s="73" t="s">
        <v>123</v>
      </c>
      <c r="D32" s="74"/>
      <c r="E32" s="74"/>
      <c r="F32" s="74"/>
      <c r="G32" s="23" t="s">
        <v>6</v>
      </c>
      <c r="H32" s="23" t="s">
        <v>6</v>
      </c>
      <c r="I32" s="23" t="s">
        <v>6</v>
      </c>
      <c r="J32" s="50">
        <f>SUM(J33:J33)</f>
        <v>0</v>
      </c>
      <c r="K32" s="50">
        <f>SUM(K33:K33)</f>
        <v>0</v>
      </c>
      <c r="L32" s="50">
        <f>SUM(L33:L33)</f>
        <v>0</v>
      </c>
      <c r="M32" s="39"/>
      <c r="N32" s="5"/>
      <c r="AI32" s="43"/>
      <c r="AS32" s="50">
        <f>SUM(AJ33:AJ33)</f>
        <v>0</v>
      </c>
      <c r="AT32" s="50">
        <f>SUM(AK33:AK33)</f>
        <v>0</v>
      </c>
      <c r="AU32" s="50">
        <f>SUM(AL33:AL33)</f>
        <v>0</v>
      </c>
    </row>
    <row r="33" spans="1:64" ht="12.75">
      <c r="A33" s="4" t="s">
        <v>15</v>
      </c>
      <c r="B33" s="14" t="s">
        <v>59</v>
      </c>
      <c r="C33" s="67" t="s">
        <v>124</v>
      </c>
      <c r="D33" s="68"/>
      <c r="E33" s="68"/>
      <c r="F33" s="68"/>
      <c r="G33" s="14" t="s">
        <v>216</v>
      </c>
      <c r="H33" s="25">
        <v>146.94</v>
      </c>
      <c r="I33" s="25">
        <v>0</v>
      </c>
      <c r="J33" s="25">
        <f>H33*AO33</f>
        <v>0</v>
      </c>
      <c r="K33" s="25">
        <f>H33*AP33</f>
        <v>0</v>
      </c>
      <c r="L33" s="25">
        <f>H33*I33</f>
        <v>0</v>
      </c>
      <c r="M33" s="37" t="s">
        <v>237</v>
      </c>
      <c r="N33" s="5"/>
      <c r="Z33" s="44">
        <f>IF(AQ33="5",BJ33,0)</f>
        <v>0</v>
      </c>
      <c r="AB33" s="44">
        <f>IF(AQ33="1",BH33,0)</f>
        <v>0</v>
      </c>
      <c r="AC33" s="44">
        <f>IF(AQ33="1",BI33,0)</f>
        <v>0</v>
      </c>
      <c r="AD33" s="44">
        <f>IF(AQ33="7",BH33,0)</f>
        <v>0</v>
      </c>
      <c r="AE33" s="44">
        <f>IF(AQ33="7",BI33,0)</f>
        <v>0</v>
      </c>
      <c r="AF33" s="44">
        <f>IF(AQ33="2",BH33,0)</f>
        <v>0</v>
      </c>
      <c r="AG33" s="44">
        <f>IF(AQ33="2",BI33,0)</f>
        <v>0</v>
      </c>
      <c r="AH33" s="44">
        <f>IF(AQ33="0",BJ33,0)</f>
        <v>0</v>
      </c>
      <c r="AI33" s="43"/>
      <c r="AJ33" s="25">
        <f>IF(AN33=0,L33,0)</f>
        <v>0</v>
      </c>
      <c r="AK33" s="25">
        <f>IF(AN33=15,L33,0)</f>
        <v>0</v>
      </c>
      <c r="AL33" s="25">
        <f>IF(AN33=21,L33,0)</f>
        <v>0</v>
      </c>
      <c r="AN33" s="44">
        <v>21</v>
      </c>
      <c r="AO33" s="44">
        <f>I33*0</f>
        <v>0</v>
      </c>
      <c r="AP33" s="44">
        <f>I33*(1-0)</f>
        <v>0</v>
      </c>
      <c r="AQ33" s="45" t="s">
        <v>7</v>
      </c>
      <c r="AV33" s="44">
        <f>AW33+AX33</f>
        <v>0</v>
      </c>
      <c r="AW33" s="44">
        <f>H33*AO33</f>
        <v>0</v>
      </c>
      <c r="AX33" s="44">
        <f>H33*AP33</f>
        <v>0</v>
      </c>
      <c r="AY33" s="47" t="s">
        <v>251</v>
      </c>
      <c r="AZ33" s="47" t="s">
        <v>264</v>
      </c>
      <c r="BA33" s="43" t="s">
        <v>272</v>
      </c>
      <c r="BC33" s="44">
        <f>AW33+AX33</f>
        <v>0</v>
      </c>
      <c r="BD33" s="44">
        <f>I33/(100-BE33)*100</f>
        <v>0</v>
      </c>
      <c r="BE33" s="44">
        <v>0</v>
      </c>
      <c r="BF33" s="44">
        <f>33</f>
        <v>33</v>
      </c>
      <c r="BH33" s="25">
        <f>H33*AO33</f>
        <v>0</v>
      </c>
      <c r="BI33" s="25">
        <f>H33*AP33</f>
        <v>0</v>
      </c>
      <c r="BJ33" s="25">
        <f>H33*I33</f>
        <v>0</v>
      </c>
      <c r="BK33" s="25" t="s">
        <v>277</v>
      </c>
      <c r="BL33" s="44">
        <v>18</v>
      </c>
    </row>
    <row r="34" spans="1:14" ht="12.75">
      <c r="A34" s="5"/>
      <c r="C34" s="18" t="s">
        <v>125</v>
      </c>
      <c r="F34" s="20"/>
      <c r="H34" s="26">
        <v>146.94</v>
      </c>
      <c r="M34" s="38"/>
      <c r="N34" s="5"/>
    </row>
    <row r="35" spans="1:47" ht="12.75">
      <c r="A35" s="6"/>
      <c r="B35" s="15" t="s">
        <v>33</v>
      </c>
      <c r="C35" s="73" t="s">
        <v>126</v>
      </c>
      <c r="D35" s="74"/>
      <c r="E35" s="74"/>
      <c r="F35" s="74"/>
      <c r="G35" s="23" t="s">
        <v>6</v>
      </c>
      <c r="H35" s="23" t="s">
        <v>6</v>
      </c>
      <c r="I35" s="23" t="s">
        <v>6</v>
      </c>
      <c r="J35" s="50">
        <f>SUM(J36:J36)</f>
        <v>0</v>
      </c>
      <c r="K35" s="50">
        <f>SUM(K36:K36)</f>
        <v>0</v>
      </c>
      <c r="L35" s="50">
        <f>SUM(L36:L36)</f>
        <v>0</v>
      </c>
      <c r="M35" s="39"/>
      <c r="N35" s="5"/>
      <c r="AI35" s="43"/>
      <c r="AS35" s="50">
        <f>SUM(AJ36:AJ36)</f>
        <v>0</v>
      </c>
      <c r="AT35" s="50">
        <f>SUM(AK36:AK36)</f>
        <v>0</v>
      </c>
      <c r="AU35" s="50">
        <f>SUM(AL36:AL36)</f>
        <v>0</v>
      </c>
    </row>
    <row r="36" spans="1:64" ht="12.75">
      <c r="A36" s="4" t="s">
        <v>16</v>
      </c>
      <c r="B36" s="14" t="s">
        <v>60</v>
      </c>
      <c r="C36" s="67" t="s">
        <v>127</v>
      </c>
      <c r="D36" s="68"/>
      <c r="E36" s="68"/>
      <c r="F36" s="68"/>
      <c r="G36" s="14" t="s">
        <v>216</v>
      </c>
      <c r="H36" s="25">
        <v>100.425</v>
      </c>
      <c r="I36" s="25">
        <v>0</v>
      </c>
      <c r="J36" s="25">
        <f>H36*AO36</f>
        <v>0</v>
      </c>
      <c r="K36" s="25">
        <f>H36*AP36</f>
        <v>0</v>
      </c>
      <c r="L36" s="25">
        <f>H36*I36</f>
        <v>0</v>
      </c>
      <c r="M36" s="37" t="s">
        <v>237</v>
      </c>
      <c r="N36" s="5"/>
      <c r="Z36" s="44">
        <f>IF(AQ36="5",BJ36,0)</f>
        <v>0</v>
      </c>
      <c r="AB36" s="44">
        <f>IF(AQ36="1",BH36,0)</f>
        <v>0</v>
      </c>
      <c r="AC36" s="44">
        <f>IF(AQ36="1",BI36,0)</f>
        <v>0</v>
      </c>
      <c r="AD36" s="44">
        <f>IF(AQ36="7",BH36,0)</f>
        <v>0</v>
      </c>
      <c r="AE36" s="44">
        <f>IF(AQ36="7",BI36,0)</f>
        <v>0</v>
      </c>
      <c r="AF36" s="44">
        <f>IF(AQ36="2",BH36,0)</f>
        <v>0</v>
      </c>
      <c r="AG36" s="44">
        <f>IF(AQ36="2",BI36,0)</f>
        <v>0</v>
      </c>
      <c r="AH36" s="44">
        <f>IF(AQ36="0",BJ36,0)</f>
        <v>0</v>
      </c>
      <c r="AI36" s="43"/>
      <c r="AJ36" s="25">
        <f>IF(AN36=0,L36,0)</f>
        <v>0</v>
      </c>
      <c r="AK36" s="25">
        <f>IF(AN36=15,L36,0)</f>
        <v>0</v>
      </c>
      <c r="AL36" s="25">
        <f>IF(AN36=21,L36,0)</f>
        <v>0</v>
      </c>
      <c r="AN36" s="44">
        <v>21</v>
      </c>
      <c r="AO36" s="44">
        <f>I36*0.320557226129934</f>
        <v>0</v>
      </c>
      <c r="AP36" s="44">
        <f>I36*(1-0.320557226129934)</f>
        <v>0</v>
      </c>
      <c r="AQ36" s="45" t="s">
        <v>7</v>
      </c>
      <c r="AV36" s="44">
        <f>AW36+AX36</f>
        <v>0</v>
      </c>
      <c r="AW36" s="44">
        <f>H36*AO36</f>
        <v>0</v>
      </c>
      <c r="AX36" s="44">
        <f>H36*AP36</f>
        <v>0</v>
      </c>
      <c r="AY36" s="47" t="s">
        <v>252</v>
      </c>
      <c r="AZ36" s="47" t="s">
        <v>265</v>
      </c>
      <c r="BA36" s="43" t="s">
        <v>272</v>
      </c>
      <c r="BC36" s="44">
        <f>AW36+AX36</f>
        <v>0</v>
      </c>
      <c r="BD36" s="44">
        <f>I36/(100-BE36)*100</f>
        <v>0</v>
      </c>
      <c r="BE36" s="44">
        <v>0</v>
      </c>
      <c r="BF36" s="44">
        <f>36</f>
        <v>36</v>
      </c>
      <c r="BH36" s="25">
        <f>H36*AO36</f>
        <v>0</v>
      </c>
      <c r="BI36" s="25">
        <f>H36*AP36</f>
        <v>0</v>
      </c>
      <c r="BJ36" s="25">
        <f>H36*I36</f>
        <v>0</v>
      </c>
      <c r="BK36" s="25" t="s">
        <v>277</v>
      </c>
      <c r="BL36" s="44">
        <v>27</v>
      </c>
    </row>
    <row r="37" spans="1:14" ht="12.75">
      <c r="A37" s="5"/>
      <c r="C37" s="18" t="s">
        <v>128</v>
      </c>
      <c r="F37" s="20"/>
      <c r="H37" s="26">
        <v>100.425</v>
      </c>
      <c r="M37" s="38"/>
      <c r="N37" s="5"/>
    </row>
    <row r="38" spans="1:47" ht="12.75">
      <c r="A38" s="6"/>
      <c r="B38" s="15" t="s">
        <v>37</v>
      </c>
      <c r="C38" s="73" t="s">
        <v>129</v>
      </c>
      <c r="D38" s="74"/>
      <c r="E38" s="74"/>
      <c r="F38" s="74"/>
      <c r="G38" s="23" t="s">
        <v>6</v>
      </c>
      <c r="H38" s="23" t="s">
        <v>6</v>
      </c>
      <c r="I38" s="23" t="s">
        <v>6</v>
      </c>
      <c r="J38" s="50">
        <f>SUM(J39:J39)</f>
        <v>0</v>
      </c>
      <c r="K38" s="50">
        <f>SUM(K39:K39)</f>
        <v>0</v>
      </c>
      <c r="L38" s="50">
        <f>SUM(L39:L39)</f>
        <v>0</v>
      </c>
      <c r="M38" s="39"/>
      <c r="N38" s="5"/>
      <c r="AI38" s="43"/>
      <c r="AS38" s="50">
        <f>SUM(AJ39:AJ39)</f>
        <v>0</v>
      </c>
      <c r="AT38" s="50">
        <f>SUM(AK39:AK39)</f>
        <v>0</v>
      </c>
      <c r="AU38" s="50">
        <f>SUM(AL39:AL39)</f>
        <v>0</v>
      </c>
    </row>
    <row r="39" spans="1:64" ht="12.75">
      <c r="A39" s="4" t="s">
        <v>17</v>
      </c>
      <c r="B39" s="14" t="s">
        <v>61</v>
      </c>
      <c r="C39" s="67" t="s">
        <v>130</v>
      </c>
      <c r="D39" s="68"/>
      <c r="E39" s="68"/>
      <c r="F39" s="68"/>
      <c r="G39" s="14" t="s">
        <v>216</v>
      </c>
      <c r="H39" s="25">
        <v>80.8</v>
      </c>
      <c r="I39" s="25">
        <v>0</v>
      </c>
      <c r="J39" s="25">
        <f>H39*AO39</f>
        <v>0</v>
      </c>
      <c r="K39" s="25">
        <f>H39*AP39</f>
        <v>0</v>
      </c>
      <c r="L39" s="25">
        <f>H39*I39</f>
        <v>0</v>
      </c>
      <c r="M39" s="37" t="s">
        <v>237</v>
      </c>
      <c r="N39" s="5"/>
      <c r="Z39" s="44">
        <f>IF(AQ39="5",BJ39,0)</f>
        <v>0</v>
      </c>
      <c r="AB39" s="44">
        <f>IF(AQ39="1",BH39,0)</f>
        <v>0</v>
      </c>
      <c r="AC39" s="44">
        <f>IF(AQ39="1",BI39,0)</f>
        <v>0</v>
      </c>
      <c r="AD39" s="44">
        <f>IF(AQ39="7",BH39,0)</f>
        <v>0</v>
      </c>
      <c r="AE39" s="44">
        <f>IF(AQ39="7",BI39,0)</f>
        <v>0</v>
      </c>
      <c r="AF39" s="44">
        <f>IF(AQ39="2",BH39,0)</f>
        <v>0</v>
      </c>
      <c r="AG39" s="44">
        <f>IF(AQ39="2",BI39,0)</f>
        <v>0</v>
      </c>
      <c r="AH39" s="44">
        <f>IF(AQ39="0",BJ39,0)</f>
        <v>0</v>
      </c>
      <c r="AI39" s="43"/>
      <c r="AJ39" s="25">
        <f>IF(AN39=0,L39,0)</f>
        <v>0</v>
      </c>
      <c r="AK39" s="25">
        <f>IF(AN39=15,L39,0)</f>
        <v>0</v>
      </c>
      <c r="AL39" s="25">
        <f>IF(AN39=21,L39,0)</f>
        <v>0</v>
      </c>
      <c r="AN39" s="44">
        <v>21</v>
      </c>
      <c r="AO39" s="44">
        <f>I39*0.827791972895764</f>
        <v>0</v>
      </c>
      <c r="AP39" s="44">
        <f>I39*(1-0.827791972895764)</f>
        <v>0</v>
      </c>
      <c r="AQ39" s="45" t="s">
        <v>7</v>
      </c>
      <c r="AV39" s="44">
        <f>AW39+AX39</f>
        <v>0</v>
      </c>
      <c r="AW39" s="44">
        <f>H39*AO39</f>
        <v>0</v>
      </c>
      <c r="AX39" s="44">
        <f>H39*AP39</f>
        <v>0</v>
      </c>
      <c r="AY39" s="47" t="s">
        <v>253</v>
      </c>
      <c r="AZ39" s="47" t="s">
        <v>266</v>
      </c>
      <c r="BA39" s="43" t="s">
        <v>272</v>
      </c>
      <c r="BC39" s="44">
        <f>AW39+AX39</f>
        <v>0</v>
      </c>
      <c r="BD39" s="44">
        <f>I39/(100-BE39)*100</f>
        <v>0</v>
      </c>
      <c r="BE39" s="44">
        <v>0</v>
      </c>
      <c r="BF39" s="44">
        <f>39</f>
        <v>39</v>
      </c>
      <c r="BH39" s="25">
        <f>H39*AO39</f>
        <v>0</v>
      </c>
      <c r="BI39" s="25">
        <f>H39*AP39</f>
        <v>0</v>
      </c>
      <c r="BJ39" s="25">
        <f>H39*I39</f>
        <v>0</v>
      </c>
      <c r="BK39" s="25" t="s">
        <v>277</v>
      </c>
      <c r="BL39" s="44">
        <v>31</v>
      </c>
    </row>
    <row r="40" spans="1:14" ht="12.75">
      <c r="A40" s="5"/>
      <c r="C40" s="18" t="s">
        <v>131</v>
      </c>
      <c r="F40" s="20"/>
      <c r="H40" s="26">
        <v>30.45</v>
      </c>
      <c r="M40" s="38"/>
      <c r="N40" s="5"/>
    </row>
    <row r="41" spans="1:14" ht="12.75">
      <c r="A41" s="5"/>
      <c r="C41" s="18" t="s">
        <v>132</v>
      </c>
      <c r="F41" s="20"/>
      <c r="H41" s="26">
        <v>18.85</v>
      </c>
      <c r="M41" s="38"/>
      <c r="N41" s="5"/>
    </row>
    <row r="42" spans="1:14" ht="12.75">
      <c r="A42" s="5"/>
      <c r="C42" s="18" t="s">
        <v>133</v>
      </c>
      <c r="F42" s="20"/>
      <c r="H42" s="26">
        <v>31.5</v>
      </c>
      <c r="M42" s="38"/>
      <c r="N42" s="5"/>
    </row>
    <row r="43" spans="1:14" ht="12.75">
      <c r="A43" s="5"/>
      <c r="C43" s="18" t="s">
        <v>134</v>
      </c>
      <c r="F43" s="20"/>
      <c r="H43" s="26">
        <v>0</v>
      </c>
      <c r="M43" s="38"/>
      <c r="N43" s="5"/>
    </row>
    <row r="44" spans="1:47" ht="12.75">
      <c r="A44" s="6"/>
      <c r="B44" s="15" t="s">
        <v>44</v>
      </c>
      <c r="C44" s="73" t="s">
        <v>135</v>
      </c>
      <c r="D44" s="74"/>
      <c r="E44" s="74"/>
      <c r="F44" s="74"/>
      <c r="G44" s="23" t="s">
        <v>6</v>
      </c>
      <c r="H44" s="23" t="s">
        <v>6</v>
      </c>
      <c r="I44" s="23" t="s">
        <v>6</v>
      </c>
      <c r="J44" s="50">
        <f>SUM(J45:J49)</f>
        <v>0</v>
      </c>
      <c r="K44" s="50">
        <f>SUM(K45:K49)</f>
        <v>0</v>
      </c>
      <c r="L44" s="50">
        <f>SUM(L45:L49)</f>
        <v>0</v>
      </c>
      <c r="M44" s="39"/>
      <c r="N44" s="5"/>
      <c r="AI44" s="43"/>
      <c r="AS44" s="50">
        <f>SUM(AJ45:AJ49)</f>
        <v>0</v>
      </c>
      <c r="AT44" s="50">
        <f>SUM(AK45:AK49)</f>
        <v>0</v>
      </c>
      <c r="AU44" s="50">
        <f>SUM(AL45:AL49)</f>
        <v>0</v>
      </c>
    </row>
    <row r="45" spans="1:64" ht="12.75">
      <c r="A45" s="4" t="s">
        <v>18</v>
      </c>
      <c r="B45" s="14" t="s">
        <v>62</v>
      </c>
      <c r="C45" s="67" t="s">
        <v>136</v>
      </c>
      <c r="D45" s="68"/>
      <c r="E45" s="68"/>
      <c r="F45" s="68"/>
      <c r="G45" s="14" t="s">
        <v>215</v>
      </c>
      <c r="H45" s="25">
        <v>118.38375</v>
      </c>
      <c r="I45" s="25">
        <v>0</v>
      </c>
      <c r="J45" s="25">
        <f>H45*AO45</f>
        <v>0</v>
      </c>
      <c r="K45" s="25">
        <f>H45*AP45</f>
        <v>0</v>
      </c>
      <c r="L45" s="25">
        <f>H45*I45</f>
        <v>0</v>
      </c>
      <c r="M45" s="37" t="s">
        <v>237</v>
      </c>
      <c r="N45" s="5"/>
      <c r="Z45" s="44">
        <f>IF(AQ45="5",BJ45,0)</f>
        <v>0</v>
      </c>
      <c r="AB45" s="44">
        <f>IF(AQ45="1",BH45,0)</f>
        <v>0</v>
      </c>
      <c r="AC45" s="44">
        <f>IF(AQ45="1",BI45,0)</f>
        <v>0</v>
      </c>
      <c r="AD45" s="44">
        <f>IF(AQ45="7",BH45,0)</f>
        <v>0</v>
      </c>
      <c r="AE45" s="44">
        <f>IF(AQ45="7",BI45,0)</f>
        <v>0</v>
      </c>
      <c r="AF45" s="44">
        <f>IF(AQ45="2",BH45,0)</f>
        <v>0</v>
      </c>
      <c r="AG45" s="44">
        <f>IF(AQ45="2",BI45,0)</f>
        <v>0</v>
      </c>
      <c r="AH45" s="44">
        <f>IF(AQ45="0",BJ45,0)</f>
        <v>0</v>
      </c>
      <c r="AI45" s="43"/>
      <c r="AJ45" s="25">
        <f>IF(AN45=0,L45,0)</f>
        <v>0</v>
      </c>
      <c r="AK45" s="25">
        <f>IF(AN45=15,L45,0)</f>
        <v>0</v>
      </c>
      <c r="AL45" s="25">
        <f>IF(AN45=21,L45,0)</f>
        <v>0</v>
      </c>
      <c r="AN45" s="44">
        <v>21</v>
      </c>
      <c r="AO45" s="44">
        <f>I45*0.354198761639991</f>
        <v>0</v>
      </c>
      <c r="AP45" s="44">
        <f>I45*(1-0.354198761639991)</f>
        <v>0</v>
      </c>
      <c r="AQ45" s="45" t="s">
        <v>7</v>
      </c>
      <c r="AV45" s="44">
        <f>AW45+AX45</f>
        <v>0</v>
      </c>
      <c r="AW45" s="44">
        <f>H45*AO45</f>
        <v>0</v>
      </c>
      <c r="AX45" s="44">
        <f>H45*AP45</f>
        <v>0</v>
      </c>
      <c r="AY45" s="47" t="s">
        <v>254</v>
      </c>
      <c r="AZ45" s="47" t="s">
        <v>266</v>
      </c>
      <c r="BA45" s="43" t="s">
        <v>272</v>
      </c>
      <c r="BC45" s="44">
        <f>AW45+AX45</f>
        <v>0</v>
      </c>
      <c r="BD45" s="44">
        <f>I45/(100-BE45)*100</f>
        <v>0</v>
      </c>
      <c r="BE45" s="44">
        <v>0</v>
      </c>
      <c r="BF45" s="44">
        <f>45</f>
        <v>45</v>
      </c>
      <c r="BH45" s="25">
        <f>H45*AO45</f>
        <v>0</v>
      </c>
      <c r="BI45" s="25">
        <f>H45*AP45</f>
        <v>0</v>
      </c>
      <c r="BJ45" s="25">
        <f>H45*I45</f>
        <v>0</v>
      </c>
      <c r="BK45" s="25" t="s">
        <v>277</v>
      </c>
      <c r="BL45" s="44">
        <v>38</v>
      </c>
    </row>
    <row r="46" spans="1:14" ht="12.75">
      <c r="A46" s="5"/>
      <c r="C46" s="18" t="s">
        <v>137</v>
      </c>
      <c r="F46" s="20"/>
      <c r="H46" s="26">
        <v>37.92375</v>
      </c>
      <c r="M46" s="38"/>
      <c r="N46" s="5"/>
    </row>
    <row r="47" spans="1:14" ht="12.75">
      <c r="A47" s="5"/>
      <c r="C47" s="18" t="s">
        <v>138</v>
      </c>
      <c r="F47" s="20"/>
      <c r="H47" s="26">
        <v>29.34</v>
      </c>
      <c r="M47" s="38"/>
      <c r="N47" s="5"/>
    </row>
    <row r="48" spans="1:14" ht="12.75">
      <c r="A48" s="5"/>
      <c r="C48" s="18" t="s">
        <v>139</v>
      </c>
      <c r="F48" s="20"/>
      <c r="H48" s="26">
        <v>51.12</v>
      </c>
      <c r="M48" s="38"/>
      <c r="N48" s="5"/>
    </row>
    <row r="49" spans="1:64" ht="12.75">
      <c r="A49" s="4" t="s">
        <v>19</v>
      </c>
      <c r="B49" s="14" t="s">
        <v>63</v>
      </c>
      <c r="C49" s="67" t="s">
        <v>140</v>
      </c>
      <c r="D49" s="68"/>
      <c r="E49" s="68"/>
      <c r="F49" s="68"/>
      <c r="G49" s="14" t="s">
        <v>217</v>
      </c>
      <c r="H49" s="25">
        <v>7.4755</v>
      </c>
      <c r="I49" s="25">
        <v>0</v>
      </c>
      <c r="J49" s="25">
        <f>H49*AO49</f>
        <v>0</v>
      </c>
      <c r="K49" s="25">
        <f>H49*AP49</f>
        <v>0</v>
      </c>
      <c r="L49" s="25">
        <f>H49*I49</f>
        <v>0</v>
      </c>
      <c r="M49" s="37" t="s">
        <v>237</v>
      </c>
      <c r="N49" s="5"/>
      <c r="Z49" s="44">
        <f>IF(AQ49="5",BJ49,0)</f>
        <v>0</v>
      </c>
      <c r="AB49" s="44">
        <f>IF(AQ49="1",BH49,0)</f>
        <v>0</v>
      </c>
      <c r="AC49" s="44">
        <f>IF(AQ49="1",BI49,0)</f>
        <v>0</v>
      </c>
      <c r="AD49" s="44">
        <f>IF(AQ49="7",BH49,0)</f>
        <v>0</v>
      </c>
      <c r="AE49" s="44">
        <f>IF(AQ49="7",BI49,0)</f>
        <v>0</v>
      </c>
      <c r="AF49" s="44">
        <f>IF(AQ49="2",BH49,0)</f>
        <v>0</v>
      </c>
      <c r="AG49" s="44">
        <f>IF(AQ49="2",BI49,0)</f>
        <v>0</v>
      </c>
      <c r="AH49" s="44">
        <f>IF(AQ49="0",BJ49,0)</f>
        <v>0</v>
      </c>
      <c r="AI49" s="43"/>
      <c r="AJ49" s="25">
        <f>IF(AN49=0,L49,0)</f>
        <v>0</v>
      </c>
      <c r="AK49" s="25">
        <f>IF(AN49=15,L49,0)</f>
        <v>0</v>
      </c>
      <c r="AL49" s="25">
        <f>IF(AN49=21,L49,0)</f>
        <v>0</v>
      </c>
      <c r="AN49" s="44">
        <v>21</v>
      </c>
      <c r="AO49" s="44">
        <f>I49*0.772041978823435</f>
        <v>0</v>
      </c>
      <c r="AP49" s="44">
        <f>I49*(1-0.772041978823435)</f>
        <v>0</v>
      </c>
      <c r="AQ49" s="45" t="s">
        <v>7</v>
      </c>
      <c r="AV49" s="44">
        <f>AW49+AX49</f>
        <v>0</v>
      </c>
      <c r="AW49" s="44">
        <f>H49*AO49</f>
        <v>0</v>
      </c>
      <c r="AX49" s="44">
        <f>H49*AP49</f>
        <v>0</v>
      </c>
      <c r="AY49" s="47" t="s">
        <v>254</v>
      </c>
      <c r="AZ49" s="47" t="s">
        <v>266</v>
      </c>
      <c r="BA49" s="43" t="s">
        <v>272</v>
      </c>
      <c r="BC49" s="44">
        <f>AW49+AX49</f>
        <v>0</v>
      </c>
      <c r="BD49" s="44">
        <f>I49/(100-BE49)*100</f>
        <v>0</v>
      </c>
      <c r="BE49" s="44">
        <v>0</v>
      </c>
      <c r="BF49" s="44">
        <f>49</f>
        <v>49</v>
      </c>
      <c r="BH49" s="25">
        <f>H49*AO49</f>
        <v>0</v>
      </c>
      <c r="BI49" s="25">
        <f>H49*AP49</f>
        <v>0</v>
      </c>
      <c r="BJ49" s="25">
        <f>H49*I49</f>
        <v>0</v>
      </c>
      <c r="BK49" s="25" t="s">
        <v>277</v>
      </c>
      <c r="BL49" s="44">
        <v>38</v>
      </c>
    </row>
    <row r="50" spans="1:14" ht="12.75">
      <c r="A50" s="5"/>
      <c r="C50" s="18" t="s">
        <v>141</v>
      </c>
      <c r="F50" s="20"/>
      <c r="H50" s="26">
        <v>7.4755</v>
      </c>
      <c r="M50" s="38"/>
      <c r="N50" s="5"/>
    </row>
    <row r="51" spans="1:47" ht="12.75">
      <c r="A51" s="6"/>
      <c r="B51" s="15" t="s">
        <v>47</v>
      </c>
      <c r="C51" s="73" t="s">
        <v>142</v>
      </c>
      <c r="D51" s="74"/>
      <c r="E51" s="74"/>
      <c r="F51" s="74"/>
      <c r="G51" s="23" t="s">
        <v>6</v>
      </c>
      <c r="H51" s="23" t="s">
        <v>6</v>
      </c>
      <c r="I51" s="23" t="s">
        <v>6</v>
      </c>
      <c r="J51" s="50">
        <f>SUM(J52:J52)</f>
        <v>0</v>
      </c>
      <c r="K51" s="50">
        <f>SUM(K52:K52)</f>
        <v>0</v>
      </c>
      <c r="L51" s="50">
        <f>SUM(L52:L52)</f>
        <v>0</v>
      </c>
      <c r="M51" s="39"/>
      <c r="N51" s="5"/>
      <c r="AI51" s="43"/>
      <c r="AS51" s="50">
        <f>SUM(AJ52:AJ52)</f>
        <v>0</v>
      </c>
      <c r="AT51" s="50">
        <f>SUM(AK52:AK52)</f>
        <v>0</v>
      </c>
      <c r="AU51" s="50">
        <f>SUM(AL52:AL52)</f>
        <v>0</v>
      </c>
    </row>
    <row r="52" spans="1:64" ht="12.75">
      <c r="A52" s="4" t="s">
        <v>20</v>
      </c>
      <c r="B52" s="14" t="s">
        <v>64</v>
      </c>
      <c r="C52" s="67" t="s">
        <v>143</v>
      </c>
      <c r="D52" s="68"/>
      <c r="E52" s="68"/>
      <c r="F52" s="68"/>
      <c r="G52" s="14" t="s">
        <v>218</v>
      </c>
      <c r="H52" s="25">
        <v>35.8</v>
      </c>
      <c r="I52" s="25">
        <v>0</v>
      </c>
      <c r="J52" s="25">
        <f>H52*AO52</f>
        <v>0</v>
      </c>
      <c r="K52" s="25">
        <f>H52*AP52</f>
        <v>0</v>
      </c>
      <c r="L52" s="25">
        <f>H52*I52</f>
        <v>0</v>
      </c>
      <c r="M52" s="37" t="s">
        <v>237</v>
      </c>
      <c r="N52" s="5"/>
      <c r="Z52" s="44">
        <f>IF(AQ52="5",BJ52,0)</f>
        <v>0</v>
      </c>
      <c r="AB52" s="44">
        <f>IF(AQ52="1",BH52,0)</f>
        <v>0</v>
      </c>
      <c r="AC52" s="44">
        <f>IF(AQ52="1",BI52,0)</f>
        <v>0</v>
      </c>
      <c r="AD52" s="44">
        <f>IF(AQ52="7",BH52,0)</f>
        <v>0</v>
      </c>
      <c r="AE52" s="44">
        <f>IF(AQ52="7",BI52,0)</f>
        <v>0</v>
      </c>
      <c r="AF52" s="44">
        <f>IF(AQ52="2",BH52,0)</f>
        <v>0</v>
      </c>
      <c r="AG52" s="44">
        <f>IF(AQ52="2",BI52,0)</f>
        <v>0</v>
      </c>
      <c r="AH52" s="44">
        <f>IF(AQ52="0",BJ52,0)</f>
        <v>0</v>
      </c>
      <c r="AI52" s="43"/>
      <c r="AJ52" s="25">
        <f>IF(AN52=0,L52,0)</f>
        <v>0</v>
      </c>
      <c r="AK52" s="25">
        <f>IF(AN52=15,L52,0)</f>
        <v>0</v>
      </c>
      <c r="AL52" s="25">
        <f>IF(AN52=21,L52,0)</f>
        <v>0</v>
      </c>
      <c r="AN52" s="44">
        <v>21</v>
      </c>
      <c r="AO52" s="44">
        <f>I52*0.478625398892345</f>
        <v>0</v>
      </c>
      <c r="AP52" s="44">
        <f>I52*(1-0.478625398892345)</f>
        <v>0</v>
      </c>
      <c r="AQ52" s="45" t="s">
        <v>7</v>
      </c>
      <c r="AV52" s="44">
        <f>AW52+AX52</f>
        <v>0</v>
      </c>
      <c r="AW52" s="44">
        <f>H52*AO52</f>
        <v>0</v>
      </c>
      <c r="AX52" s="44">
        <f>H52*AP52</f>
        <v>0</v>
      </c>
      <c r="AY52" s="47" t="s">
        <v>255</v>
      </c>
      <c r="AZ52" s="47" t="s">
        <v>267</v>
      </c>
      <c r="BA52" s="43" t="s">
        <v>272</v>
      </c>
      <c r="BC52" s="44">
        <f>AW52+AX52</f>
        <v>0</v>
      </c>
      <c r="BD52" s="44">
        <f>I52/(100-BE52)*100</f>
        <v>0</v>
      </c>
      <c r="BE52" s="44">
        <v>0</v>
      </c>
      <c r="BF52" s="44">
        <f>52</f>
        <v>52</v>
      </c>
      <c r="BH52" s="25">
        <f>H52*AO52</f>
        <v>0</v>
      </c>
      <c r="BI52" s="25">
        <f>H52*AP52</f>
        <v>0</v>
      </c>
      <c r="BJ52" s="25">
        <f>H52*I52</f>
        <v>0</v>
      </c>
      <c r="BK52" s="25" t="s">
        <v>277</v>
      </c>
      <c r="BL52" s="44">
        <v>41</v>
      </c>
    </row>
    <row r="53" spans="1:14" ht="12.75">
      <c r="A53" s="5"/>
      <c r="C53" s="18" t="s">
        <v>144</v>
      </c>
      <c r="F53" s="20"/>
      <c r="H53" s="26">
        <v>35.8</v>
      </c>
      <c r="M53" s="38"/>
      <c r="N53" s="5"/>
    </row>
    <row r="54" spans="1:47" ht="12.75">
      <c r="A54" s="6"/>
      <c r="B54" s="15" t="s">
        <v>65</v>
      </c>
      <c r="C54" s="73" t="s">
        <v>145</v>
      </c>
      <c r="D54" s="74"/>
      <c r="E54" s="74"/>
      <c r="F54" s="74"/>
      <c r="G54" s="23" t="s">
        <v>6</v>
      </c>
      <c r="H54" s="23" t="s">
        <v>6</v>
      </c>
      <c r="I54" s="23" t="s">
        <v>6</v>
      </c>
      <c r="J54" s="50">
        <f>SUM(J55:J55)</f>
        <v>0</v>
      </c>
      <c r="K54" s="50">
        <f>SUM(K55:K55)</f>
        <v>0</v>
      </c>
      <c r="L54" s="50">
        <f>SUM(L55:L55)</f>
        <v>0</v>
      </c>
      <c r="M54" s="39"/>
      <c r="N54" s="5"/>
      <c r="AI54" s="43"/>
      <c r="AS54" s="50">
        <f>SUM(AJ55:AJ55)</f>
        <v>0</v>
      </c>
      <c r="AT54" s="50">
        <f>SUM(AK55:AK55)</f>
        <v>0</v>
      </c>
      <c r="AU54" s="50">
        <f>SUM(AL55:AL55)</f>
        <v>0</v>
      </c>
    </row>
    <row r="55" spans="1:64" ht="12.75">
      <c r="A55" s="4" t="s">
        <v>21</v>
      </c>
      <c r="B55" s="14" t="s">
        <v>66</v>
      </c>
      <c r="C55" s="67" t="s">
        <v>146</v>
      </c>
      <c r="D55" s="68"/>
      <c r="E55" s="68"/>
      <c r="F55" s="68"/>
      <c r="G55" s="14" t="s">
        <v>215</v>
      </c>
      <c r="H55" s="25">
        <v>1.746</v>
      </c>
      <c r="I55" s="25">
        <v>0</v>
      </c>
      <c r="J55" s="25">
        <f>H55*AO55</f>
        <v>0</v>
      </c>
      <c r="K55" s="25">
        <f>H55*AP55</f>
        <v>0</v>
      </c>
      <c r="L55" s="25">
        <f>H55*I55</f>
        <v>0</v>
      </c>
      <c r="M55" s="37" t="s">
        <v>237</v>
      </c>
      <c r="N55" s="5"/>
      <c r="Z55" s="44">
        <f>IF(AQ55="5",BJ55,0)</f>
        <v>0</v>
      </c>
      <c r="AB55" s="44">
        <f>IF(AQ55="1",BH55,0)</f>
        <v>0</v>
      </c>
      <c r="AC55" s="44">
        <f>IF(AQ55="1",BI55,0)</f>
        <v>0</v>
      </c>
      <c r="AD55" s="44">
        <f>IF(AQ55="7",BH55,0)</f>
        <v>0</v>
      </c>
      <c r="AE55" s="44">
        <f>IF(AQ55="7",BI55,0)</f>
        <v>0</v>
      </c>
      <c r="AF55" s="44">
        <f>IF(AQ55="2",BH55,0)</f>
        <v>0</v>
      </c>
      <c r="AG55" s="44">
        <f>IF(AQ55="2",BI55,0)</f>
        <v>0</v>
      </c>
      <c r="AH55" s="44">
        <f>IF(AQ55="0",BJ55,0)</f>
        <v>0</v>
      </c>
      <c r="AI55" s="43"/>
      <c r="AJ55" s="25">
        <f>IF(AN55=0,L55,0)</f>
        <v>0</v>
      </c>
      <c r="AK55" s="25">
        <f>IF(AN55=15,L55,0)</f>
        <v>0</v>
      </c>
      <c r="AL55" s="25">
        <f>IF(AN55=21,L55,0)</f>
        <v>0</v>
      </c>
      <c r="AN55" s="44">
        <v>21</v>
      </c>
      <c r="AO55" s="44">
        <f>I55*0.478540820745795</f>
        <v>0</v>
      </c>
      <c r="AP55" s="44">
        <f>I55*(1-0.478540820745795)</f>
        <v>0</v>
      </c>
      <c r="AQ55" s="45" t="s">
        <v>7</v>
      </c>
      <c r="AV55" s="44">
        <f>AW55+AX55</f>
        <v>0</v>
      </c>
      <c r="AW55" s="44">
        <f>H55*AO55</f>
        <v>0</v>
      </c>
      <c r="AX55" s="44">
        <f>H55*AP55</f>
        <v>0</v>
      </c>
      <c r="AY55" s="47" t="s">
        <v>256</v>
      </c>
      <c r="AZ55" s="47" t="s">
        <v>267</v>
      </c>
      <c r="BA55" s="43" t="s">
        <v>272</v>
      </c>
      <c r="BC55" s="44">
        <f>AW55+AX55</f>
        <v>0</v>
      </c>
      <c r="BD55" s="44">
        <f>I55/(100-BE55)*100</f>
        <v>0</v>
      </c>
      <c r="BE55" s="44">
        <v>0</v>
      </c>
      <c r="BF55" s="44">
        <f>55</f>
        <v>55</v>
      </c>
      <c r="BH55" s="25">
        <f>H55*AO55</f>
        <v>0</v>
      </c>
      <c r="BI55" s="25">
        <f>H55*AP55</f>
        <v>0</v>
      </c>
      <c r="BJ55" s="25">
        <f>H55*I55</f>
        <v>0</v>
      </c>
      <c r="BK55" s="25" t="s">
        <v>277</v>
      </c>
      <c r="BL55" s="44">
        <v>45</v>
      </c>
    </row>
    <row r="56" spans="1:14" ht="12.75">
      <c r="A56" s="5"/>
      <c r="C56" s="18" t="s">
        <v>147</v>
      </c>
      <c r="F56" s="20"/>
      <c r="H56" s="26">
        <v>1.746</v>
      </c>
      <c r="M56" s="38"/>
      <c r="N56" s="5"/>
    </row>
    <row r="57" spans="1:47" ht="12.75">
      <c r="A57" s="6"/>
      <c r="B57" s="15" t="s">
        <v>67</v>
      </c>
      <c r="C57" s="73" t="s">
        <v>148</v>
      </c>
      <c r="D57" s="74"/>
      <c r="E57" s="74"/>
      <c r="F57" s="74"/>
      <c r="G57" s="23" t="s">
        <v>6</v>
      </c>
      <c r="H57" s="23" t="s">
        <v>6</v>
      </c>
      <c r="I57" s="23" t="s">
        <v>6</v>
      </c>
      <c r="J57" s="50">
        <f>SUM(J58:J58)</f>
        <v>0</v>
      </c>
      <c r="K57" s="50">
        <f>SUM(K58:K58)</f>
        <v>0</v>
      </c>
      <c r="L57" s="50">
        <f>SUM(L58:L58)</f>
        <v>0</v>
      </c>
      <c r="M57" s="39"/>
      <c r="N57" s="5"/>
      <c r="AI57" s="43"/>
      <c r="AS57" s="50">
        <f>SUM(AJ58:AJ58)</f>
        <v>0</v>
      </c>
      <c r="AT57" s="50">
        <f>SUM(AK58:AK58)</f>
        <v>0</v>
      </c>
      <c r="AU57" s="50">
        <f>SUM(AL58:AL58)</f>
        <v>0</v>
      </c>
    </row>
    <row r="58" spans="1:64" ht="12.75">
      <c r="A58" s="4" t="s">
        <v>22</v>
      </c>
      <c r="B58" s="14" t="s">
        <v>68</v>
      </c>
      <c r="C58" s="67" t="s">
        <v>149</v>
      </c>
      <c r="D58" s="68"/>
      <c r="E58" s="68"/>
      <c r="F58" s="68"/>
      <c r="G58" s="14" t="s">
        <v>216</v>
      </c>
      <c r="H58" s="25">
        <v>161.6</v>
      </c>
      <c r="I58" s="25">
        <v>0</v>
      </c>
      <c r="J58" s="25">
        <f>H58*AO58</f>
        <v>0</v>
      </c>
      <c r="K58" s="25">
        <f>H58*AP58</f>
        <v>0</v>
      </c>
      <c r="L58" s="25">
        <f>H58*I58</f>
        <v>0</v>
      </c>
      <c r="M58" s="37" t="s">
        <v>237</v>
      </c>
      <c r="N58" s="5"/>
      <c r="Z58" s="44">
        <f>IF(AQ58="5",BJ58,0)</f>
        <v>0</v>
      </c>
      <c r="AB58" s="44">
        <f>IF(AQ58="1",BH58,0)</f>
        <v>0</v>
      </c>
      <c r="AC58" s="44">
        <f>IF(AQ58="1",BI58,0)</f>
        <v>0</v>
      </c>
      <c r="AD58" s="44">
        <f>IF(AQ58="7",BH58,0)</f>
        <v>0</v>
      </c>
      <c r="AE58" s="44">
        <f>IF(AQ58="7",BI58,0)</f>
        <v>0</v>
      </c>
      <c r="AF58" s="44">
        <f>IF(AQ58="2",BH58,0)</f>
        <v>0</v>
      </c>
      <c r="AG58" s="44">
        <f>IF(AQ58="2",BI58,0)</f>
        <v>0</v>
      </c>
      <c r="AH58" s="44">
        <f>IF(AQ58="0",BJ58,0)</f>
        <v>0</v>
      </c>
      <c r="AI58" s="43"/>
      <c r="AJ58" s="25">
        <f>IF(AN58=0,L58,0)</f>
        <v>0</v>
      </c>
      <c r="AK58" s="25">
        <f>IF(AN58=15,L58,0)</f>
        <v>0</v>
      </c>
      <c r="AL58" s="25">
        <f>IF(AN58=21,L58,0)</f>
        <v>0</v>
      </c>
      <c r="AN58" s="44">
        <v>21</v>
      </c>
      <c r="AO58" s="44">
        <f>I58*0.117252090800478</f>
        <v>0</v>
      </c>
      <c r="AP58" s="44">
        <f>I58*(1-0.117252090800478)</f>
        <v>0</v>
      </c>
      <c r="AQ58" s="45" t="s">
        <v>7</v>
      </c>
      <c r="AV58" s="44">
        <f>AW58+AX58</f>
        <v>0</v>
      </c>
      <c r="AW58" s="44">
        <f>H58*AO58</f>
        <v>0</v>
      </c>
      <c r="AX58" s="44">
        <f>H58*AP58</f>
        <v>0</v>
      </c>
      <c r="AY58" s="47" t="s">
        <v>257</v>
      </c>
      <c r="AZ58" s="47" t="s">
        <v>268</v>
      </c>
      <c r="BA58" s="43" t="s">
        <v>272</v>
      </c>
      <c r="BC58" s="44">
        <f>AW58+AX58</f>
        <v>0</v>
      </c>
      <c r="BD58" s="44">
        <f>I58/(100-BE58)*100</f>
        <v>0</v>
      </c>
      <c r="BE58" s="44">
        <v>0</v>
      </c>
      <c r="BF58" s="44">
        <f>58</f>
        <v>58</v>
      </c>
      <c r="BH58" s="25">
        <f>H58*AO58</f>
        <v>0</v>
      </c>
      <c r="BI58" s="25">
        <f>H58*AP58</f>
        <v>0</v>
      </c>
      <c r="BJ58" s="25">
        <f>H58*I58</f>
        <v>0</v>
      </c>
      <c r="BK58" s="25" t="s">
        <v>277</v>
      </c>
      <c r="BL58" s="44">
        <v>62</v>
      </c>
    </row>
    <row r="59" spans="1:14" ht="12.75">
      <c r="A59" s="5"/>
      <c r="C59" s="18" t="s">
        <v>150</v>
      </c>
      <c r="F59" s="20"/>
      <c r="H59" s="26">
        <v>161.6</v>
      </c>
      <c r="M59" s="38"/>
      <c r="N59" s="5"/>
    </row>
    <row r="60" spans="1:47" ht="12.75">
      <c r="A60" s="6"/>
      <c r="B60" s="15" t="s">
        <v>69</v>
      </c>
      <c r="C60" s="73" t="s">
        <v>151</v>
      </c>
      <c r="D60" s="74"/>
      <c r="E60" s="74"/>
      <c r="F60" s="74"/>
      <c r="G60" s="23" t="s">
        <v>6</v>
      </c>
      <c r="H60" s="23" t="s">
        <v>6</v>
      </c>
      <c r="I60" s="23" t="s">
        <v>6</v>
      </c>
      <c r="J60" s="50">
        <f>SUM(J61:J64)</f>
        <v>0</v>
      </c>
      <c r="K60" s="50">
        <f>SUM(K61:K64)</f>
        <v>0</v>
      </c>
      <c r="L60" s="50">
        <f>SUM(L61:L64)</f>
        <v>0</v>
      </c>
      <c r="M60" s="39"/>
      <c r="N60" s="5"/>
      <c r="AI60" s="43"/>
      <c r="AS60" s="50">
        <f>SUM(AJ61:AJ64)</f>
        <v>0</v>
      </c>
      <c r="AT60" s="50">
        <f>SUM(AK61:AK64)</f>
        <v>0</v>
      </c>
      <c r="AU60" s="50">
        <f>SUM(AL61:AL64)</f>
        <v>0</v>
      </c>
    </row>
    <row r="61" spans="1:64" ht="12.75">
      <c r="A61" s="4" t="s">
        <v>23</v>
      </c>
      <c r="B61" s="14" t="s">
        <v>70</v>
      </c>
      <c r="C61" s="67" t="s">
        <v>152</v>
      </c>
      <c r="D61" s="68"/>
      <c r="E61" s="68"/>
      <c r="F61" s="68"/>
      <c r="G61" s="14" t="s">
        <v>218</v>
      </c>
      <c r="H61" s="25">
        <v>164.9</v>
      </c>
      <c r="I61" s="25">
        <v>0</v>
      </c>
      <c r="J61" s="25">
        <f>H61*AO61</f>
        <v>0</v>
      </c>
      <c r="K61" s="25">
        <f>H61*AP61</f>
        <v>0</v>
      </c>
      <c r="L61" s="25">
        <f>H61*I61</f>
        <v>0</v>
      </c>
      <c r="M61" s="37" t="s">
        <v>237</v>
      </c>
      <c r="N61" s="5"/>
      <c r="Z61" s="44">
        <f>IF(AQ61="5",BJ61,0)</f>
        <v>0</v>
      </c>
      <c r="AB61" s="44">
        <f>IF(AQ61="1",BH61,0)</f>
        <v>0</v>
      </c>
      <c r="AC61" s="44">
        <f>IF(AQ61="1",BI61,0)</f>
        <v>0</v>
      </c>
      <c r="AD61" s="44">
        <f>IF(AQ61="7",BH61,0)</f>
        <v>0</v>
      </c>
      <c r="AE61" s="44">
        <f>IF(AQ61="7",BI61,0)</f>
        <v>0</v>
      </c>
      <c r="AF61" s="44">
        <f>IF(AQ61="2",BH61,0)</f>
        <v>0</v>
      </c>
      <c r="AG61" s="44">
        <f>IF(AQ61="2",BI61,0)</f>
        <v>0</v>
      </c>
      <c r="AH61" s="44">
        <f>IF(AQ61="0",BJ61,0)</f>
        <v>0</v>
      </c>
      <c r="AI61" s="43"/>
      <c r="AJ61" s="25">
        <f>IF(AN61=0,L61,0)</f>
        <v>0</v>
      </c>
      <c r="AK61" s="25">
        <f>IF(AN61=15,L61,0)</f>
        <v>0</v>
      </c>
      <c r="AL61" s="25">
        <f>IF(AN61=21,L61,0)</f>
        <v>0</v>
      </c>
      <c r="AN61" s="44">
        <v>21</v>
      </c>
      <c r="AO61" s="44">
        <f>I61*0.661538461538462</f>
        <v>0</v>
      </c>
      <c r="AP61" s="44">
        <f>I61*(1-0.661538461538462)</f>
        <v>0</v>
      </c>
      <c r="AQ61" s="45" t="s">
        <v>7</v>
      </c>
      <c r="AV61" s="44">
        <f>AW61+AX61</f>
        <v>0</v>
      </c>
      <c r="AW61" s="44">
        <f>H61*AO61</f>
        <v>0</v>
      </c>
      <c r="AX61" s="44">
        <f>H61*AP61</f>
        <v>0</v>
      </c>
      <c r="AY61" s="47" t="s">
        <v>258</v>
      </c>
      <c r="AZ61" s="47" t="s">
        <v>268</v>
      </c>
      <c r="BA61" s="43" t="s">
        <v>272</v>
      </c>
      <c r="BC61" s="44">
        <f>AW61+AX61</f>
        <v>0</v>
      </c>
      <c r="BD61" s="44">
        <f>I61/(100-BE61)*100</f>
        <v>0</v>
      </c>
      <c r="BE61" s="44">
        <v>0</v>
      </c>
      <c r="BF61" s="44">
        <f>61</f>
        <v>61</v>
      </c>
      <c r="BH61" s="25">
        <f>H61*AO61</f>
        <v>0</v>
      </c>
      <c r="BI61" s="25">
        <f>H61*AP61</f>
        <v>0</v>
      </c>
      <c r="BJ61" s="25">
        <f>H61*I61</f>
        <v>0</v>
      </c>
      <c r="BK61" s="25" t="s">
        <v>277</v>
      </c>
      <c r="BL61" s="44">
        <v>63</v>
      </c>
    </row>
    <row r="62" spans="1:14" ht="12.75">
      <c r="A62" s="5"/>
      <c r="C62" s="18" t="s">
        <v>153</v>
      </c>
      <c r="F62" s="20"/>
      <c r="H62" s="26">
        <v>64.1</v>
      </c>
      <c r="M62" s="38"/>
      <c r="N62" s="5"/>
    </row>
    <row r="63" spans="1:14" ht="12.75">
      <c r="A63" s="5"/>
      <c r="C63" s="18" t="s">
        <v>154</v>
      </c>
      <c r="F63" s="20"/>
      <c r="H63" s="26">
        <v>100.8</v>
      </c>
      <c r="M63" s="38"/>
      <c r="N63" s="5"/>
    </row>
    <row r="64" spans="1:64" ht="12.75">
      <c r="A64" s="4" t="s">
        <v>24</v>
      </c>
      <c r="B64" s="14" t="s">
        <v>71</v>
      </c>
      <c r="C64" s="67" t="s">
        <v>155</v>
      </c>
      <c r="D64" s="68"/>
      <c r="E64" s="68"/>
      <c r="F64" s="68"/>
      <c r="G64" s="14" t="s">
        <v>215</v>
      </c>
      <c r="H64" s="25">
        <v>5.02125</v>
      </c>
      <c r="I64" s="25">
        <v>0</v>
      </c>
      <c r="J64" s="25">
        <f>H64*AO64</f>
        <v>0</v>
      </c>
      <c r="K64" s="25">
        <f>H64*AP64</f>
        <v>0</v>
      </c>
      <c r="L64" s="25">
        <f>H64*I64</f>
        <v>0</v>
      </c>
      <c r="M64" s="37" t="s">
        <v>237</v>
      </c>
      <c r="N64" s="5"/>
      <c r="Z64" s="44">
        <f>IF(AQ64="5",BJ64,0)</f>
        <v>0</v>
      </c>
      <c r="AB64" s="44">
        <f>IF(AQ64="1",BH64,0)</f>
        <v>0</v>
      </c>
      <c r="AC64" s="44">
        <f>IF(AQ64="1",BI64,0)</f>
        <v>0</v>
      </c>
      <c r="AD64" s="44">
        <f>IF(AQ64="7",BH64,0)</f>
        <v>0</v>
      </c>
      <c r="AE64" s="44">
        <f>IF(AQ64="7",BI64,0)</f>
        <v>0</v>
      </c>
      <c r="AF64" s="44">
        <f>IF(AQ64="2",BH64,0)</f>
        <v>0</v>
      </c>
      <c r="AG64" s="44">
        <f>IF(AQ64="2",BI64,0)</f>
        <v>0</v>
      </c>
      <c r="AH64" s="44">
        <f>IF(AQ64="0",BJ64,0)</f>
        <v>0</v>
      </c>
      <c r="AI64" s="43"/>
      <c r="AJ64" s="25">
        <f>IF(AN64=0,L64,0)</f>
        <v>0</v>
      </c>
      <c r="AK64" s="25">
        <f>IF(AN64=15,L64,0)</f>
        <v>0</v>
      </c>
      <c r="AL64" s="25">
        <f>IF(AN64=21,L64,0)</f>
        <v>0</v>
      </c>
      <c r="AN64" s="44">
        <v>21</v>
      </c>
      <c r="AO64" s="44">
        <f>I64*0.692446513440873</f>
        <v>0</v>
      </c>
      <c r="AP64" s="44">
        <f>I64*(1-0.692446513440873)</f>
        <v>0</v>
      </c>
      <c r="AQ64" s="45" t="s">
        <v>7</v>
      </c>
      <c r="AV64" s="44">
        <f>AW64+AX64</f>
        <v>0</v>
      </c>
      <c r="AW64" s="44">
        <f>H64*AO64</f>
        <v>0</v>
      </c>
      <c r="AX64" s="44">
        <f>H64*AP64</f>
        <v>0</v>
      </c>
      <c r="AY64" s="47" t="s">
        <v>258</v>
      </c>
      <c r="AZ64" s="47" t="s">
        <v>268</v>
      </c>
      <c r="BA64" s="43" t="s">
        <v>272</v>
      </c>
      <c r="BC64" s="44">
        <f>AW64+AX64</f>
        <v>0</v>
      </c>
      <c r="BD64" s="44">
        <f>I64/(100-BE64)*100</f>
        <v>0</v>
      </c>
      <c r="BE64" s="44">
        <v>0</v>
      </c>
      <c r="BF64" s="44">
        <f>64</f>
        <v>64</v>
      </c>
      <c r="BH64" s="25">
        <f>H64*AO64</f>
        <v>0</v>
      </c>
      <c r="BI64" s="25">
        <f>H64*AP64</f>
        <v>0</v>
      </c>
      <c r="BJ64" s="25">
        <f>H64*I64</f>
        <v>0</v>
      </c>
      <c r="BK64" s="25" t="s">
        <v>277</v>
      </c>
      <c r="BL64" s="44">
        <v>63</v>
      </c>
    </row>
    <row r="65" spans="1:14" ht="12.75">
      <c r="A65" s="5"/>
      <c r="C65" s="18" t="s">
        <v>156</v>
      </c>
      <c r="F65" s="20"/>
      <c r="H65" s="26">
        <v>5.02125</v>
      </c>
      <c r="M65" s="38"/>
      <c r="N65" s="5"/>
    </row>
    <row r="66" spans="1:47" ht="12.75">
      <c r="A66" s="6"/>
      <c r="B66" s="15" t="s">
        <v>72</v>
      </c>
      <c r="C66" s="73" t="s">
        <v>157</v>
      </c>
      <c r="D66" s="74"/>
      <c r="E66" s="74"/>
      <c r="F66" s="74"/>
      <c r="G66" s="23" t="s">
        <v>6</v>
      </c>
      <c r="H66" s="23" t="s">
        <v>6</v>
      </c>
      <c r="I66" s="23" t="s">
        <v>6</v>
      </c>
      <c r="J66" s="50">
        <f>SUM(J67:J84)</f>
        <v>0</v>
      </c>
      <c r="K66" s="50">
        <f>SUM(K67:K84)</f>
        <v>0</v>
      </c>
      <c r="L66" s="50">
        <f>SUM(L67:L84)</f>
        <v>0</v>
      </c>
      <c r="M66" s="39"/>
      <c r="N66" s="5"/>
      <c r="AI66" s="43"/>
      <c r="AS66" s="50">
        <f>SUM(AJ67:AJ84)</f>
        <v>0</v>
      </c>
      <c r="AT66" s="50">
        <f>SUM(AK67:AK84)</f>
        <v>0</v>
      </c>
      <c r="AU66" s="50">
        <f>SUM(AL67:AL84)</f>
        <v>0</v>
      </c>
    </row>
    <row r="67" spans="1:64" ht="12.75">
      <c r="A67" s="4" t="s">
        <v>25</v>
      </c>
      <c r="B67" s="14" t="s">
        <v>73</v>
      </c>
      <c r="C67" s="67" t="s">
        <v>158</v>
      </c>
      <c r="D67" s="68"/>
      <c r="E67" s="68"/>
      <c r="F67" s="68"/>
      <c r="G67" s="14" t="s">
        <v>216</v>
      </c>
      <c r="H67" s="25">
        <v>182.6055</v>
      </c>
      <c r="I67" s="25">
        <v>0</v>
      </c>
      <c r="J67" s="25">
        <f>H67*AO67</f>
        <v>0</v>
      </c>
      <c r="K67" s="25">
        <f>H67*AP67</f>
        <v>0</v>
      </c>
      <c r="L67" s="25">
        <f>H67*I67</f>
        <v>0</v>
      </c>
      <c r="M67" s="37" t="s">
        <v>237</v>
      </c>
      <c r="N67" s="5"/>
      <c r="Z67" s="44">
        <f>IF(AQ67="5",BJ67,0)</f>
        <v>0</v>
      </c>
      <c r="AB67" s="44">
        <f>IF(AQ67="1",BH67,0)</f>
        <v>0</v>
      </c>
      <c r="AC67" s="44">
        <f>IF(AQ67="1",BI67,0)</f>
        <v>0</v>
      </c>
      <c r="AD67" s="44">
        <f>IF(AQ67="7",BH67,0)</f>
        <v>0</v>
      </c>
      <c r="AE67" s="44">
        <f>IF(AQ67="7",BI67,0)</f>
        <v>0</v>
      </c>
      <c r="AF67" s="44">
        <f>IF(AQ67="2",BH67,0)</f>
        <v>0</v>
      </c>
      <c r="AG67" s="44">
        <f>IF(AQ67="2",BI67,0)</f>
        <v>0</v>
      </c>
      <c r="AH67" s="44">
        <f>IF(AQ67="0",BJ67,0)</f>
        <v>0</v>
      </c>
      <c r="AI67" s="43"/>
      <c r="AJ67" s="25">
        <f>IF(AN67=0,L67,0)</f>
        <v>0</v>
      </c>
      <c r="AK67" s="25">
        <f>IF(AN67=15,L67,0)</f>
        <v>0</v>
      </c>
      <c r="AL67" s="25">
        <f>IF(AN67=21,L67,0)</f>
        <v>0</v>
      </c>
      <c r="AN67" s="44">
        <v>21</v>
      </c>
      <c r="AO67" s="44">
        <f>I67*0.522306749841111</f>
        <v>0</v>
      </c>
      <c r="AP67" s="44">
        <f>I67*(1-0.522306749841111)</f>
        <v>0</v>
      </c>
      <c r="AQ67" s="45" t="s">
        <v>13</v>
      </c>
      <c r="AV67" s="44">
        <f>AW67+AX67</f>
        <v>0</v>
      </c>
      <c r="AW67" s="44">
        <f>H67*AO67</f>
        <v>0</v>
      </c>
      <c r="AX67" s="44">
        <f>H67*AP67</f>
        <v>0</v>
      </c>
      <c r="AY67" s="47" t="s">
        <v>259</v>
      </c>
      <c r="AZ67" s="47" t="s">
        <v>269</v>
      </c>
      <c r="BA67" s="43" t="s">
        <v>272</v>
      </c>
      <c r="BC67" s="44">
        <f>AW67+AX67</f>
        <v>0</v>
      </c>
      <c r="BD67" s="44">
        <f>I67/(100-BE67)*100</f>
        <v>0</v>
      </c>
      <c r="BE67" s="44">
        <v>0</v>
      </c>
      <c r="BF67" s="44">
        <f>67</f>
        <v>67</v>
      </c>
      <c r="BH67" s="25">
        <f>H67*AO67</f>
        <v>0</v>
      </c>
      <c r="BI67" s="25">
        <f>H67*AP67</f>
        <v>0</v>
      </c>
      <c r="BJ67" s="25">
        <f>H67*I67</f>
        <v>0</v>
      </c>
      <c r="BK67" s="25" t="s">
        <v>277</v>
      </c>
      <c r="BL67" s="44">
        <v>764</v>
      </c>
    </row>
    <row r="68" spans="1:14" ht="12.75">
      <c r="A68" s="5"/>
      <c r="C68" s="18" t="s">
        <v>159</v>
      </c>
      <c r="F68" s="20"/>
      <c r="H68" s="26">
        <v>166.005</v>
      </c>
      <c r="M68" s="38"/>
      <c r="N68" s="5"/>
    </row>
    <row r="69" spans="1:14" ht="12.75">
      <c r="A69" s="5"/>
      <c r="C69" s="18" t="s">
        <v>160</v>
      </c>
      <c r="F69" s="20"/>
      <c r="H69" s="26">
        <v>16.6005</v>
      </c>
      <c r="M69" s="38"/>
      <c r="N69" s="5"/>
    </row>
    <row r="70" spans="1:64" ht="12.75">
      <c r="A70" s="4" t="s">
        <v>26</v>
      </c>
      <c r="B70" s="14" t="s">
        <v>74</v>
      </c>
      <c r="C70" s="67" t="s">
        <v>161</v>
      </c>
      <c r="D70" s="68"/>
      <c r="E70" s="68"/>
      <c r="F70" s="68"/>
      <c r="G70" s="14" t="s">
        <v>218</v>
      </c>
      <c r="H70" s="25">
        <v>10.8</v>
      </c>
      <c r="I70" s="25">
        <v>0</v>
      </c>
      <c r="J70" s="25">
        <f>H70*AO70</f>
        <v>0</v>
      </c>
      <c r="K70" s="25">
        <f>H70*AP70</f>
        <v>0</v>
      </c>
      <c r="L70" s="25">
        <f>H70*I70</f>
        <v>0</v>
      </c>
      <c r="M70" s="37" t="s">
        <v>237</v>
      </c>
      <c r="N70" s="5"/>
      <c r="Z70" s="44">
        <f>IF(AQ70="5",BJ70,0)</f>
        <v>0</v>
      </c>
      <c r="AB70" s="44">
        <f>IF(AQ70="1",BH70,0)</f>
        <v>0</v>
      </c>
      <c r="AC70" s="44">
        <f>IF(AQ70="1",BI70,0)</f>
        <v>0</v>
      </c>
      <c r="AD70" s="44">
        <f>IF(AQ70="7",BH70,0)</f>
        <v>0</v>
      </c>
      <c r="AE70" s="44">
        <f>IF(AQ70="7",BI70,0)</f>
        <v>0</v>
      </c>
      <c r="AF70" s="44">
        <f>IF(AQ70="2",BH70,0)</f>
        <v>0</v>
      </c>
      <c r="AG70" s="44">
        <f>IF(AQ70="2",BI70,0)</f>
        <v>0</v>
      </c>
      <c r="AH70" s="44">
        <f>IF(AQ70="0",BJ70,0)</f>
        <v>0</v>
      </c>
      <c r="AI70" s="43"/>
      <c r="AJ70" s="25">
        <f>IF(AN70=0,L70,0)</f>
        <v>0</v>
      </c>
      <c r="AK70" s="25">
        <f>IF(AN70=15,L70,0)</f>
        <v>0</v>
      </c>
      <c r="AL70" s="25">
        <f>IF(AN70=21,L70,0)</f>
        <v>0</v>
      </c>
      <c r="AN70" s="44">
        <v>21</v>
      </c>
      <c r="AO70" s="44">
        <f>I70*0.634682096513452</f>
        <v>0</v>
      </c>
      <c r="AP70" s="44">
        <f>I70*(1-0.634682096513452)</f>
        <v>0</v>
      </c>
      <c r="AQ70" s="45" t="s">
        <v>13</v>
      </c>
      <c r="AV70" s="44">
        <f>AW70+AX70</f>
        <v>0</v>
      </c>
      <c r="AW70" s="44">
        <f>H70*AO70</f>
        <v>0</v>
      </c>
      <c r="AX70" s="44">
        <f>H70*AP70</f>
        <v>0</v>
      </c>
      <c r="AY70" s="47" t="s">
        <v>259</v>
      </c>
      <c r="AZ70" s="47" t="s">
        <v>269</v>
      </c>
      <c r="BA70" s="43" t="s">
        <v>272</v>
      </c>
      <c r="BC70" s="44">
        <f>AW70+AX70</f>
        <v>0</v>
      </c>
      <c r="BD70" s="44">
        <f>I70/(100-BE70)*100</f>
        <v>0</v>
      </c>
      <c r="BE70" s="44">
        <v>0</v>
      </c>
      <c r="BF70" s="44">
        <f>70</f>
        <v>70</v>
      </c>
      <c r="BH70" s="25">
        <f>H70*AO70</f>
        <v>0</v>
      </c>
      <c r="BI70" s="25">
        <f>H70*AP70</f>
        <v>0</v>
      </c>
      <c r="BJ70" s="25">
        <f>H70*I70</f>
        <v>0</v>
      </c>
      <c r="BK70" s="25" t="s">
        <v>277</v>
      </c>
      <c r="BL70" s="44">
        <v>764</v>
      </c>
    </row>
    <row r="71" spans="1:14" ht="12.75">
      <c r="A71" s="5"/>
      <c r="C71" s="18" t="s">
        <v>162</v>
      </c>
      <c r="F71" s="20"/>
      <c r="H71" s="26">
        <v>10.8</v>
      </c>
      <c r="M71" s="38"/>
      <c r="N71" s="5"/>
    </row>
    <row r="72" spans="1:64" ht="12.75">
      <c r="A72" s="4" t="s">
        <v>27</v>
      </c>
      <c r="B72" s="14" t="s">
        <v>75</v>
      </c>
      <c r="C72" s="67" t="s">
        <v>163</v>
      </c>
      <c r="D72" s="68"/>
      <c r="E72" s="68"/>
      <c r="F72" s="68"/>
      <c r="G72" s="14" t="s">
        <v>218</v>
      </c>
      <c r="H72" s="25">
        <v>4</v>
      </c>
      <c r="I72" s="25">
        <v>0</v>
      </c>
      <c r="J72" s="25">
        <f>H72*AO72</f>
        <v>0</v>
      </c>
      <c r="K72" s="25">
        <f>H72*AP72</f>
        <v>0</v>
      </c>
      <c r="L72" s="25">
        <f>H72*I72</f>
        <v>0</v>
      </c>
      <c r="M72" s="37" t="s">
        <v>237</v>
      </c>
      <c r="N72" s="5"/>
      <c r="Z72" s="44">
        <f>IF(AQ72="5",BJ72,0)</f>
        <v>0</v>
      </c>
      <c r="AB72" s="44">
        <f>IF(AQ72="1",BH72,0)</f>
        <v>0</v>
      </c>
      <c r="AC72" s="44">
        <f>IF(AQ72="1",BI72,0)</f>
        <v>0</v>
      </c>
      <c r="AD72" s="44">
        <f>IF(AQ72="7",BH72,0)</f>
        <v>0</v>
      </c>
      <c r="AE72" s="44">
        <f>IF(AQ72="7",BI72,0)</f>
        <v>0</v>
      </c>
      <c r="AF72" s="44">
        <f>IF(AQ72="2",BH72,0)</f>
        <v>0</v>
      </c>
      <c r="AG72" s="44">
        <f>IF(AQ72="2",BI72,0)</f>
        <v>0</v>
      </c>
      <c r="AH72" s="44">
        <f>IF(AQ72="0",BJ72,0)</f>
        <v>0</v>
      </c>
      <c r="AI72" s="43"/>
      <c r="AJ72" s="25">
        <f>IF(AN72=0,L72,0)</f>
        <v>0</v>
      </c>
      <c r="AK72" s="25">
        <f>IF(AN72=15,L72,0)</f>
        <v>0</v>
      </c>
      <c r="AL72" s="25">
        <f>IF(AN72=21,L72,0)</f>
        <v>0</v>
      </c>
      <c r="AN72" s="44">
        <v>21</v>
      </c>
      <c r="AO72" s="44">
        <f>I72*0.0539954337899543</f>
        <v>0</v>
      </c>
      <c r="AP72" s="44">
        <f>I72*(1-0.0539954337899543)</f>
        <v>0</v>
      </c>
      <c r="AQ72" s="45" t="s">
        <v>13</v>
      </c>
      <c r="AV72" s="44">
        <f>AW72+AX72</f>
        <v>0</v>
      </c>
      <c r="AW72" s="44">
        <f>H72*AO72</f>
        <v>0</v>
      </c>
      <c r="AX72" s="44">
        <f>H72*AP72</f>
        <v>0</v>
      </c>
      <c r="AY72" s="47" t="s">
        <v>259</v>
      </c>
      <c r="AZ72" s="47" t="s">
        <v>269</v>
      </c>
      <c r="BA72" s="43" t="s">
        <v>272</v>
      </c>
      <c r="BC72" s="44">
        <f>AW72+AX72</f>
        <v>0</v>
      </c>
      <c r="BD72" s="44">
        <f>I72/(100-BE72)*100</f>
        <v>0</v>
      </c>
      <c r="BE72" s="44">
        <v>0</v>
      </c>
      <c r="BF72" s="44">
        <f>72</f>
        <v>72</v>
      </c>
      <c r="BH72" s="25">
        <f>H72*AO72</f>
        <v>0</v>
      </c>
      <c r="BI72" s="25">
        <f>H72*AP72</f>
        <v>0</v>
      </c>
      <c r="BJ72" s="25">
        <f>H72*I72</f>
        <v>0</v>
      </c>
      <c r="BK72" s="25" t="s">
        <v>277</v>
      </c>
      <c r="BL72" s="44">
        <v>764</v>
      </c>
    </row>
    <row r="73" spans="1:14" ht="12.75">
      <c r="A73" s="5"/>
      <c r="C73" s="18" t="s">
        <v>164</v>
      </c>
      <c r="F73" s="20"/>
      <c r="H73" s="26">
        <v>4</v>
      </c>
      <c r="M73" s="38"/>
      <c r="N73" s="5"/>
    </row>
    <row r="74" spans="1:64" ht="12.75">
      <c r="A74" s="7" t="s">
        <v>28</v>
      </c>
      <c r="B74" s="16" t="s">
        <v>76</v>
      </c>
      <c r="C74" s="75" t="s">
        <v>165</v>
      </c>
      <c r="D74" s="76"/>
      <c r="E74" s="76"/>
      <c r="F74" s="76"/>
      <c r="G74" s="16" t="s">
        <v>219</v>
      </c>
      <c r="H74" s="27">
        <v>4</v>
      </c>
      <c r="I74" s="27">
        <v>0</v>
      </c>
      <c r="J74" s="27">
        <f>H74*AO74</f>
        <v>0</v>
      </c>
      <c r="K74" s="27">
        <f>H74*AP74</f>
        <v>0</v>
      </c>
      <c r="L74" s="27">
        <f>H74*I74</f>
        <v>0</v>
      </c>
      <c r="M74" s="40" t="s">
        <v>237</v>
      </c>
      <c r="N74" s="5"/>
      <c r="Z74" s="44">
        <f>IF(AQ74="5",BJ74,0)</f>
        <v>0</v>
      </c>
      <c r="AB74" s="44">
        <f>IF(AQ74="1",BH74,0)</f>
        <v>0</v>
      </c>
      <c r="AC74" s="44">
        <f>IF(AQ74="1",BI74,0)</f>
        <v>0</v>
      </c>
      <c r="AD74" s="44">
        <f>IF(AQ74="7",BH74,0)</f>
        <v>0</v>
      </c>
      <c r="AE74" s="44">
        <f>IF(AQ74="7",BI74,0)</f>
        <v>0</v>
      </c>
      <c r="AF74" s="44">
        <f>IF(AQ74="2",BH74,0)</f>
        <v>0</v>
      </c>
      <c r="AG74" s="44">
        <f>IF(AQ74="2",BI74,0)</f>
        <v>0</v>
      </c>
      <c r="AH74" s="44">
        <f>IF(AQ74="0",BJ74,0)</f>
        <v>0</v>
      </c>
      <c r="AI74" s="43"/>
      <c r="AJ74" s="27">
        <f>IF(AN74=0,L74,0)</f>
        <v>0</v>
      </c>
      <c r="AK74" s="27">
        <f>IF(AN74=15,L74,0)</f>
        <v>0</v>
      </c>
      <c r="AL74" s="27">
        <f>IF(AN74=21,L74,0)</f>
        <v>0</v>
      </c>
      <c r="AN74" s="44">
        <v>21</v>
      </c>
      <c r="AO74" s="44">
        <f>I74*1</f>
        <v>0</v>
      </c>
      <c r="AP74" s="44">
        <f>I74*(1-1)</f>
        <v>0</v>
      </c>
      <c r="AQ74" s="46" t="s">
        <v>13</v>
      </c>
      <c r="AV74" s="44">
        <f>AW74+AX74</f>
        <v>0</v>
      </c>
      <c r="AW74" s="44">
        <f>H74*AO74</f>
        <v>0</v>
      </c>
      <c r="AX74" s="44">
        <f>H74*AP74</f>
        <v>0</v>
      </c>
      <c r="AY74" s="47" t="s">
        <v>259</v>
      </c>
      <c r="AZ74" s="47" t="s">
        <v>269</v>
      </c>
      <c r="BA74" s="43" t="s">
        <v>272</v>
      </c>
      <c r="BC74" s="44">
        <f>AW74+AX74</f>
        <v>0</v>
      </c>
      <c r="BD74" s="44">
        <f>I74/(100-BE74)*100</f>
        <v>0</v>
      </c>
      <c r="BE74" s="44">
        <v>0</v>
      </c>
      <c r="BF74" s="44">
        <f>74</f>
        <v>74</v>
      </c>
      <c r="BH74" s="27">
        <f>H74*AO74</f>
        <v>0</v>
      </c>
      <c r="BI74" s="27">
        <f>H74*AP74</f>
        <v>0</v>
      </c>
      <c r="BJ74" s="27">
        <f>H74*I74</f>
        <v>0</v>
      </c>
      <c r="BK74" s="27" t="s">
        <v>278</v>
      </c>
      <c r="BL74" s="44">
        <v>764</v>
      </c>
    </row>
    <row r="75" spans="1:14" ht="12.75">
      <c r="A75" s="5"/>
      <c r="C75" s="18" t="s">
        <v>166</v>
      </c>
      <c r="F75" s="20"/>
      <c r="H75" s="26">
        <v>4</v>
      </c>
      <c r="M75" s="38"/>
      <c r="N75" s="5"/>
    </row>
    <row r="76" spans="1:64" ht="12.75">
      <c r="A76" s="4" t="s">
        <v>29</v>
      </c>
      <c r="B76" s="14" t="s">
        <v>77</v>
      </c>
      <c r="C76" s="67" t="s">
        <v>167</v>
      </c>
      <c r="D76" s="68"/>
      <c r="E76" s="68"/>
      <c r="F76" s="68"/>
      <c r="G76" s="14" t="s">
        <v>219</v>
      </c>
      <c r="H76" s="25">
        <v>2</v>
      </c>
      <c r="I76" s="25">
        <v>0</v>
      </c>
      <c r="J76" s="25">
        <f>H76*AO76</f>
        <v>0</v>
      </c>
      <c r="K76" s="25">
        <f>H76*AP76</f>
        <v>0</v>
      </c>
      <c r="L76" s="25">
        <f>H76*I76</f>
        <v>0</v>
      </c>
      <c r="M76" s="37" t="s">
        <v>237</v>
      </c>
      <c r="N76" s="5"/>
      <c r="Z76" s="44">
        <f>IF(AQ76="5",BJ76,0)</f>
        <v>0</v>
      </c>
      <c r="AB76" s="44">
        <f>IF(AQ76="1",BH76,0)</f>
        <v>0</v>
      </c>
      <c r="AC76" s="44">
        <f>IF(AQ76="1",BI76,0)</f>
        <v>0</v>
      </c>
      <c r="AD76" s="44">
        <f>IF(AQ76="7",BH76,0)</f>
        <v>0</v>
      </c>
      <c r="AE76" s="44">
        <f>IF(AQ76="7",BI76,0)</f>
        <v>0</v>
      </c>
      <c r="AF76" s="44">
        <f>IF(AQ76="2",BH76,0)</f>
        <v>0</v>
      </c>
      <c r="AG76" s="44">
        <f>IF(AQ76="2",BI76,0)</f>
        <v>0</v>
      </c>
      <c r="AH76" s="44">
        <f>IF(AQ76="0",BJ76,0)</f>
        <v>0</v>
      </c>
      <c r="AI76" s="43"/>
      <c r="AJ76" s="25">
        <f>IF(AN76=0,L76,0)</f>
        <v>0</v>
      </c>
      <c r="AK76" s="25">
        <f>IF(AN76=15,L76,0)</f>
        <v>0</v>
      </c>
      <c r="AL76" s="25">
        <f>IF(AN76=21,L76,0)</f>
        <v>0</v>
      </c>
      <c r="AN76" s="44">
        <v>21</v>
      </c>
      <c r="AO76" s="44">
        <f>I76*0.156683608640407</f>
        <v>0</v>
      </c>
      <c r="AP76" s="44">
        <f>I76*(1-0.156683608640407)</f>
        <v>0</v>
      </c>
      <c r="AQ76" s="45" t="s">
        <v>13</v>
      </c>
      <c r="AV76" s="44">
        <f>AW76+AX76</f>
        <v>0</v>
      </c>
      <c r="AW76" s="44">
        <f>H76*AO76</f>
        <v>0</v>
      </c>
      <c r="AX76" s="44">
        <f>H76*AP76</f>
        <v>0</v>
      </c>
      <c r="AY76" s="47" t="s">
        <v>259</v>
      </c>
      <c r="AZ76" s="47" t="s">
        <v>269</v>
      </c>
      <c r="BA76" s="43" t="s">
        <v>272</v>
      </c>
      <c r="BC76" s="44">
        <f>AW76+AX76</f>
        <v>0</v>
      </c>
      <c r="BD76" s="44">
        <f>I76/(100-BE76)*100</f>
        <v>0</v>
      </c>
      <c r="BE76" s="44">
        <v>0</v>
      </c>
      <c r="BF76" s="44">
        <f>76</f>
        <v>76</v>
      </c>
      <c r="BH76" s="25">
        <f>H76*AO76</f>
        <v>0</v>
      </c>
      <c r="BI76" s="25">
        <f>H76*AP76</f>
        <v>0</v>
      </c>
      <c r="BJ76" s="25">
        <f>H76*I76</f>
        <v>0</v>
      </c>
      <c r="BK76" s="25" t="s">
        <v>277</v>
      </c>
      <c r="BL76" s="44">
        <v>764</v>
      </c>
    </row>
    <row r="77" spans="1:14" ht="12.75">
      <c r="A77" s="5"/>
      <c r="C77" s="18" t="s">
        <v>168</v>
      </c>
      <c r="F77" s="20"/>
      <c r="H77" s="26">
        <v>2</v>
      </c>
      <c r="M77" s="38"/>
      <c r="N77" s="5"/>
    </row>
    <row r="78" spans="1:64" ht="12.75">
      <c r="A78" s="4" t="s">
        <v>30</v>
      </c>
      <c r="B78" s="14" t="s">
        <v>78</v>
      </c>
      <c r="C78" s="67" t="s">
        <v>169</v>
      </c>
      <c r="D78" s="68"/>
      <c r="E78" s="68"/>
      <c r="F78" s="68"/>
      <c r="G78" s="14" t="s">
        <v>218</v>
      </c>
      <c r="H78" s="25">
        <v>23.8</v>
      </c>
      <c r="I78" s="25">
        <v>0</v>
      </c>
      <c r="J78" s="25">
        <f>H78*AO78</f>
        <v>0</v>
      </c>
      <c r="K78" s="25">
        <f>H78*AP78</f>
        <v>0</v>
      </c>
      <c r="L78" s="25">
        <f>H78*I78</f>
        <v>0</v>
      </c>
      <c r="M78" s="37" t="s">
        <v>237</v>
      </c>
      <c r="N78" s="5"/>
      <c r="Z78" s="44">
        <f>IF(AQ78="5",BJ78,0)</f>
        <v>0</v>
      </c>
      <c r="AB78" s="44">
        <f>IF(AQ78="1",BH78,0)</f>
        <v>0</v>
      </c>
      <c r="AC78" s="44">
        <f>IF(AQ78="1",BI78,0)</f>
        <v>0</v>
      </c>
      <c r="AD78" s="44">
        <f>IF(AQ78="7",BH78,0)</f>
        <v>0</v>
      </c>
      <c r="AE78" s="44">
        <f>IF(AQ78="7",BI78,0)</f>
        <v>0</v>
      </c>
      <c r="AF78" s="44">
        <f>IF(AQ78="2",BH78,0)</f>
        <v>0</v>
      </c>
      <c r="AG78" s="44">
        <f>IF(AQ78="2",BI78,0)</f>
        <v>0</v>
      </c>
      <c r="AH78" s="44">
        <f>IF(AQ78="0",BJ78,0)</f>
        <v>0</v>
      </c>
      <c r="AI78" s="43"/>
      <c r="AJ78" s="25">
        <f>IF(AN78=0,L78,0)</f>
        <v>0</v>
      </c>
      <c r="AK78" s="25">
        <f>IF(AN78=15,L78,0)</f>
        <v>0</v>
      </c>
      <c r="AL78" s="25">
        <f>IF(AN78=21,L78,0)</f>
        <v>0</v>
      </c>
      <c r="AN78" s="44">
        <v>21</v>
      </c>
      <c r="AO78" s="44">
        <f>I78*0.576718377088306</f>
        <v>0</v>
      </c>
      <c r="AP78" s="44">
        <f>I78*(1-0.576718377088306)</f>
        <v>0</v>
      </c>
      <c r="AQ78" s="45" t="s">
        <v>13</v>
      </c>
      <c r="AV78" s="44">
        <f>AW78+AX78</f>
        <v>0</v>
      </c>
      <c r="AW78" s="44">
        <f>H78*AO78</f>
        <v>0</v>
      </c>
      <c r="AX78" s="44">
        <f>H78*AP78</f>
        <v>0</v>
      </c>
      <c r="AY78" s="47" t="s">
        <v>259</v>
      </c>
      <c r="AZ78" s="47" t="s">
        <v>269</v>
      </c>
      <c r="BA78" s="43" t="s">
        <v>272</v>
      </c>
      <c r="BC78" s="44">
        <f>AW78+AX78</f>
        <v>0</v>
      </c>
      <c r="BD78" s="44">
        <f>I78/(100-BE78)*100</f>
        <v>0</v>
      </c>
      <c r="BE78" s="44">
        <v>0</v>
      </c>
      <c r="BF78" s="44">
        <f>78</f>
        <v>78</v>
      </c>
      <c r="BH78" s="25">
        <f>H78*AO78</f>
        <v>0</v>
      </c>
      <c r="BI78" s="25">
        <f>H78*AP78</f>
        <v>0</v>
      </c>
      <c r="BJ78" s="25">
        <f>H78*I78</f>
        <v>0</v>
      </c>
      <c r="BK78" s="25" t="s">
        <v>277</v>
      </c>
      <c r="BL78" s="44">
        <v>764</v>
      </c>
    </row>
    <row r="79" spans="1:14" ht="12.75">
      <c r="A79" s="5"/>
      <c r="C79" s="18" t="s">
        <v>170</v>
      </c>
      <c r="F79" s="20"/>
      <c r="H79" s="26">
        <v>23.8</v>
      </c>
      <c r="M79" s="38"/>
      <c r="N79" s="5"/>
    </row>
    <row r="80" spans="1:64" ht="12.75">
      <c r="A80" s="4" t="s">
        <v>31</v>
      </c>
      <c r="B80" s="14" t="s">
        <v>79</v>
      </c>
      <c r="C80" s="67" t="s">
        <v>171</v>
      </c>
      <c r="D80" s="68"/>
      <c r="E80" s="68"/>
      <c r="F80" s="68"/>
      <c r="G80" s="14" t="s">
        <v>219</v>
      </c>
      <c r="H80" s="25">
        <v>25</v>
      </c>
      <c r="I80" s="25">
        <v>0</v>
      </c>
      <c r="J80" s="25">
        <f>H80*AO80</f>
        <v>0</v>
      </c>
      <c r="K80" s="25">
        <f>H80*AP80</f>
        <v>0</v>
      </c>
      <c r="L80" s="25">
        <f>H80*I80</f>
        <v>0</v>
      </c>
      <c r="M80" s="37" t="s">
        <v>237</v>
      </c>
      <c r="N80" s="5"/>
      <c r="Z80" s="44">
        <f>IF(AQ80="5",BJ80,0)</f>
        <v>0</v>
      </c>
      <c r="AB80" s="44">
        <f>IF(AQ80="1",BH80,0)</f>
        <v>0</v>
      </c>
      <c r="AC80" s="44">
        <f>IF(AQ80="1",BI80,0)</f>
        <v>0</v>
      </c>
      <c r="AD80" s="44">
        <f>IF(AQ80="7",BH80,0)</f>
        <v>0</v>
      </c>
      <c r="AE80" s="44">
        <f>IF(AQ80="7",BI80,0)</f>
        <v>0</v>
      </c>
      <c r="AF80" s="44">
        <f>IF(AQ80="2",BH80,0)</f>
        <v>0</v>
      </c>
      <c r="AG80" s="44">
        <f>IF(AQ80="2",BI80,0)</f>
        <v>0</v>
      </c>
      <c r="AH80" s="44">
        <f>IF(AQ80="0",BJ80,0)</f>
        <v>0</v>
      </c>
      <c r="AI80" s="43"/>
      <c r="AJ80" s="25">
        <f>IF(AN80=0,L80,0)</f>
        <v>0</v>
      </c>
      <c r="AK80" s="25">
        <f>IF(AN80=15,L80,0)</f>
        <v>0</v>
      </c>
      <c r="AL80" s="25">
        <f>IF(AN80=21,L80,0)</f>
        <v>0</v>
      </c>
      <c r="AN80" s="44">
        <v>21</v>
      </c>
      <c r="AO80" s="44">
        <f>I80*0.0800786369593709</f>
        <v>0</v>
      </c>
      <c r="AP80" s="44">
        <f>I80*(1-0.0800786369593709)</f>
        <v>0</v>
      </c>
      <c r="AQ80" s="45" t="s">
        <v>13</v>
      </c>
      <c r="AV80" s="44">
        <f>AW80+AX80</f>
        <v>0</v>
      </c>
      <c r="AW80" s="44">
        <f>H80*AO80</f>
        <v>0</v>
      </c>
      <c r="AX80" s="44">
        <f>H80*AP80</f>
        <v>0</v>
      </c>
      <c r="AY80" s="47" t="s">
        <v>259</v>
      </c>
      <c r="AZ80" s="47" t="s">
        <v>269</v>
      </c>
      <c r="BA80" s="43" t="s">
        <v>272</v>
      </c>
      <c r="BC80" s="44">
        <f>AW80+AX80</f>
        <v>0</v>
      </c>
      <c r="BD80" s="44">
        <f>I80/(100-BE80)*100</f>
        <v>0</v>
      </c>
      <c r="BE80" s="44">
        <v>0</v>
      </c>
      <c r="BF80" s="44">
        <f>80</f>
        <v>80</v>
      </c>
      <c r="BH80" s="25">
        <f>H80*AO80</f>
        <v>0</v>
      </c>
      <c r="BI80" s="25">
        <f>H80*AP80</f>
        <v>0</v>
      </c>
      <c r="BJ80" s="25">
        <f>H80*I80</f>
        <v>0</v>
      </c>
      <c r="BK80" s="25" t="s">
        <v>277</v>
      </c>
      <c r="BL80" s="44">
        <v>764</v>
      </c>
    </row>
    <row r="81" spans="1:14" ht="12.75">
      <c r="A81" s="5"/>
      <c r="C81" s="18" t="s">
        <v>172</v>
      </c>
      <c r="F81" s="20"/>
      <c r="H81" s="26">
        <v>25</v>
      </c>
      <c r="M81" s="38"/>
      <c r="N81" s="5"/>
    </row>
    <row r="82" spans="1:64" ht="12.75">
      <c r="A82" s="7" t="s">
        <v>32</v>
      </c>
      <c r="B82" s="16" t="s">
        <v>80</v>
      </c>
      <c r="C82" s="75" t="s">
        <v>173</v>
      </c>
      <c r="D82" s="76"/>
      <c r="E82" s="76"/>
      <c r="F82" s="76"/>
      <c r="G82" s="16" t="s">
        <v>219</v>
      </c>
      <c r="H82" s="27">
        <v>25</v>
      </c>
      <c r="I82" s="27">
        <v>0</v>
      </c>
      <c r="J82" s="27">
        <f>H82*AO82</f>
        <v>0</v>
      </c>
      <c r="K82" s="27">
        <f>H82*AP82</f>
        <v>0</v>
      </c>
      <c r="L82" s="27">
        <f>H82*I82</f>
        <v>0</v>
      </c>
      <c r="M82" s="40" t="s">
        <v>237</v>
      </c>
      <c r="N82" s="5"/>
      <c r="Z82" s="44">
        <f>IF(AQ82="5",BJ82,0)</f>
        <v>0</v>
      </c>
      <c r="AB82" s="44">
        <f>IF(AQ82="1",BH82,0)</f>
        <v>0</v>
      </c>
      <c r="AC82" s="44">
        <f>IF(AQ82="1",BI82,0)</f>
        <v>0</v>
      </c>
      <c r="AD82" s="44">
        <f>IF(AQ82="7",BH82,0)</f>
        <v>0</v>
      </c>
      <c r="AE82" s="44">
        <f>IF(AQ82="7",BI82,0)</f>
        <v>0</v>
      </c>
      <c r="AF82" s="44">
        <f>IF(AQ82="2",BH82,0)</f>
        <v>0</v>
      </c>
      <c r="AG82" s="44">
        <f>IF(AQ82="2",BI82,0)</f>
        <v>0</v>
      </c>
      <c r="AH82" s="44">
        <f>IF(AQ82="0",BJ82,0)</f>
        <v>0</v>
      </c>
      <c r="AI82" s="43"/>
      <c r="AJ82" s="27">
        <f>IF(AN82=0,L82,0)</f>
        <v>0</v>
      </c>
      <c r="AK82" s="27">
        <f>IF(AN82=15,L82,0)</f>
        <v>0</v>
      </c>
      <c r="AL82" s="27">
        <f>IF(AN82=21,L82,0)</f>
        <v>0</v>
      </c>
      <c r="AN82" s="44">
        <v>21</v>
      </c>
      <c r="AO82" s="44">
        <f>I82*1</f>
        <v>0</v>
      </c>
      <c r="AP82" s="44">
        <f>I82*(1-1)</f>
        <v>0</v>
      </c>
      <c r="AQ82" s="46" t="s">
        <v>13</v>
      </c>
      <c r="AV82" s="44">
        <f>AW82+AX82</f>
        <v>0</v>
      </c>
      <c r="AW82" s="44">
        <f>H82*AO82</f>
        <v>0</v>
      </c>
      <c r="AX82" s="44">
        <f>H82*AP82</f>
        <v>0</v>
      </c>
      <c r="AY82" s="47" t="s">
        <v>259</v>
      </c>
      <c r="AZ82" s="47" t="s">
        <v>269</v>
      </c>
      <c r="BA82" s="43" t="s">
        <v>272</v>
      </c>
      <c r="BC82" s="44">
        <f>AW82+AX82</f>
        <v>0</v>
      </c>
      <c r="BD82" s="44">
        <f>I82/(100-BE82)*100</f>
        <v>0</v>
      </c>
      <c r="BE82" s="44">
        <v>0</v>
      </c>
      <c r="BF82" s="44">
        <f>82</f>
        <v>82</v>
      </c>
      <c r="BH82" s="27">
        <f>H82*AO82</f>
        <v>0</v>
      </c>
      <c r="BI82" s="27">
        <f>H82*AP82</f>
        <v>0</v>
      </c>
      <c r="BJ82" s="27">
        <f>H82*I82</f>
        <v>0</v>
      </c>
      <c r="BK82" s="27" t="s">
        <v>278</v>
      </c>
      <c r="BL82" s="44">
        <v>764</v>
      </c>
    </row>
    <row r="83" spans="1:14" ht="12.75">
      <c r="A83" s="5"/>
      <c r="C83" s="18" t="s">
        <v>172</v>
      </c>
      <c r="F83" s="20"/>
      <c r="H83" s="26">
        <v>25</v>
      </c>
      <c r="M83" s="38"/>
      <c r="N83" s="5"/>
    </row>
    <row r="84" spans="1:64" ht="12.75">
      <c r="A84" s="4" t="s">
        <v>33</v>
      </c>
      <c r="B84" s="14" t="s">
        <v>81</v>
      </c>
      <c r="C84" s="67" t="s">
        <v>174</v>
      </c>
      <c r="D84" s="68"/>
      <c r="E84" s="68"/>
      <c r="F84" s="68"/>
      <c r="G84" s="14" t="s">
        <v>217</v>
      </c>
      <c r="H84" s="25">
        <v>0.74834</v>
      </c>
      <c r="I84" s="25">
        <v>0</v>
      </c>
      <c r="J84" s="25">
        <f>H84*AO84</f>
        <v>0</v>
      </c>
      <c r="K84" s="25">
        <f>H84*AP84</f>
        <v>0</v>
      </c>
      <c r="L84" s="25">
        <f>H84*I84</f>
        <v>0</v>
      </c>
      <c r="M84" s="37" t="s">
        <v>237</v>
      </c>
      <c r="N84" s="5"/>
      <c r="Z84" s="44">
        <f>IF(AQ84="5",BJ84,0)</f>
        <v>0</v>
      </c>
      <c r="AB84" s="44">
        <f>IF(AQ84="1",BH84,0)</f>
        <v>0</v>
      </c>
      <c r="AC84" s="44">
        <f>IF(AQ84="1",BI84,0)</f>
        <v>0</v>
      </c>
      <c r="AD84" s="44">
        <f>IF(AQ84="7",BH84,0)</f>
        <v>0</v>
      </c>
      <c r="AE84" s="44">
        <f>IF(AQ84="7",BI84,0)</f>
        <v>0</v>
      </c>
      <c r="AF84" s="44">
        <f>IF(AQ84="2",BH84,0)</f>
        <v>0</v>
      </c>
      <c r="AG84" s="44">
        <f>IF(AQ84="2",BI84,0)</f>
        <v>0</v>
      </c>
      <c r="AH84" s="44">
        <f>IF(AQ84="0",BJ84,0)</f>
        <v>0</v>
      </c>
      <c r="AI84" s="43"/>
      <c r="AJ84" s="25">
        <f>IF(AN84=0,L84,0)</f>
        <v>0</v>
      </c>
      <c r="AK84" s="25">
        <f>IF(AN84=15,L84,0)</f>
        <v>0</v>
      </c>
      <c r="AL84" s="25">
        <f>IF(AN84=21,L84,0)</f>
        <v>0</v>
      </c>
      <c r="AN84" s="44">
        <v>21</v>
      </c>
      <c r="AO84" s="44">
        <f>I84*0</f>
        <v>0</v>
      </c>
      <c r="AP84" s="44">
        <f>I84*(1-0)</f>
        <v>0</v>
      </c>
      <c r="AQ84" s="45" t="s">
        <v>11</v>
      </c>
      <c r="AV84" s="44">
        <f>AW84+AX84</f>
        <v>0</v>
      </c>
      <c r="AW84" s="44">
        <f>H84*AO84</f>
        <v>0</v>
      </c>
      <c r="AX84" s="44">
        <f>H84*AP84</f>
        <v>0</v>
      </c>
      <c r="AY84" s="47" t="s">
        <v>259</v>
      </c>
      <c r="AZ84" s="47" t="s">
        <v>269</v>
      </c>
      <c r="BA84" s="43" t="s">
        <v>272</v>
      </c>
      <c r="BC84" s="44">
        <f>AW84+AX84</f>
        <v>0</v>
      </c>
      <c r="BD84" s="44">
        <f>I84/(100-BE84)*100</f>
        <v>0</v>
      </c>
      <c r="BE84" s="44">
        <v>0</v>
      </c>
      <c r="BF84" s="44">
        <f>84</f>
        <v>84</v>
      </c>
      <c r="BH84" s="25">
        <f>H84*AO84</f>
        <v>0</v>
      </c>
      <c r="BI84" s="25">
        <f>H84*AP84</f>
        <v>0</v>
      </c>
      <c r="BJ84" s="25">
        <f>H84*I84</f>
        <v>0</v>
      </c>
      <c r="BK84" s="25" t="s">
        <v>277</v>
      </c>
      <c r="BL84" s="44">
        <v>764</v>
      </c>
    </row>
    <row r="85" spans="1:47" ht="12.75">
      <c r="A85" s="6"/>
      <c r="B85" s="15" t="s">
        <v>82</v>
      </c>
      <c r="C85" s="73" t="s">
        <v>175</v>
      </c>
      <c r="D85" s="74"/>
      <c r="E85" s="74"/>
      <c r="F85" s="74"/>
      <c r="G85" s="23" t="s">
        <v>6</v>
      </c>
      <c r="H85" s="23" t="s">
        <v>6</v>
      </c>
      <c r="I85" s="23" t="s">
        <v>6</v>
      </c>
      <c r="J85" s="50">
        <f>SUM(J86:J107)</f>
        <v>0</v>
      </c>
      <c r="K85" s="50">
        <f>SUM(K86:K107)</f>
        <v>0</v>
      </c>
      <c r="L85" s="50">
        <f>SUM(L86:L107)</f>
        <v>0</v>
      </c>
      <c r="M85" s="39"/>
      <c r="N85" s="5"/>
      <c r="AI85" s="43"/>
      <c r="AS85" s="50">
        <f>SUM(AJ86:AJ107)</f>
        <v>0</v>
      </c>
      <c r="AT85" s="50">
        <f>SUM(AK86:AK107)</f>
        <v>0</v>
      </c>
      <c r="AU85" s="50">
        <f>SUM(AL86:AL107)</f>
        <v>0</v>
      </c>
    </row>
    <row r="86" spans="1:64" ht="12.75">
      <c r="A86" s="4" t="s">
        <v>34</v>
      </c>
      <c r="B86" s="14" t="s">
        <v>83</v>
      </c>
      <c r="C86" s="67" t="s">
        <v>176</v>
      </c>
      <c r="D86" s="68"/>
      <c r="E86" s="68"/>
      <c r="F86" s="68"/>
      <c r="G86" s="14" t="s">
        <v>220</v>
      </c>
      <c r="H86" s="25">
        <v>6426</v>
      </c>
      <c r="I86" s="25">
        <v>0</v>
      </c>
      <c r="J86" s="25">
        <f>H86*AO86</f>
        <v>0</v>
      </c>
      <c r="K86" s="25">
        <f>H86*AP86</f>
        <v>0</v>
      </c>
      <c r="L86" s="25">
        <f>H86*I86</f>
        <v>0</v>
      </c>
      <c r="M86" s="37"/>
      <c r="N86" s="5"/>
      <c r="Z86" s="44">
        <f>IF(AQ86="5",BJ86,0)</f>
        <v>0</v>
      </c>
      <c r="AB86" s="44">
        <f>IF(AQ86="1",BH86,0)</f>
        <v>0</v>
      </c>
      <c r="AC86" s="44">
        <f>IF(AQ86="1",BI86,0)</f>
        <v>0</v>
      </c>
      <c r="AD86" s="44">
        <f>IF(AQ86="7",BH86,0)</f>
        <v>0</v>
      </c>
      <c r="AE86" s="44">
        <f>IF(AQ86="7",BI86,0)</f>
        <v>0</v>
      </c>
      <c r="AF86" s="44">
        <f>IF(AQ86="2",BH86,0)</f>
        <v>0</v>
      </c>
      <c r="AG86" s="44">
        <f>IF(AQ86="2",BI86,0)</f>
        <v>0</v>
      </c>
      <c r="AH86" s="44">
        <f>IF(AQ86="0",BJ86,0)</f>
        <v>0</v>
      </c>
      <c r="AI86" s="43"/>
      <c r="AJ86" s="25">
        <f>IF(AN86=0,L86,0)</f>
        <v>0</v>
      </c>
      <c r="AK86" s="25">
        <f>IF(AN86=15,L86,0)</f>
        <v>0</v>
      </c>
      <c r="AL86" s="25">
        <f>IF(AN86=21,L86,0)</f>
        <v>0</v>
      </c>
      <c r="AN86" s="44">
        <v>21</v>
      </c>
      <c r="AO86" s="44">
        <f>I86*0</f>
        <v>0</v>
      </c>
      <c r="AP86" s="44">
        <f>I86*(1-0)</f>
        <v>0</v>
      </c>
      <c r="AQ86" s="45" t="s">
        <v>13</v>
      </c>
      <c r="AV86" s="44">
        <f>AW86+AX86</f>
        <v>0</v>
      </c>
      <c r="AW86" s="44">
        <f>H86*AO86</f>
        <v>0</v>
      </c>
      <c r="AX86" s="44">
        <f>H86*AP86</f>
        <v>0</v>
      </c>
      <c r="AY86" s="47" t="s">
        <v>260</v>
      </c>
      <c r="AZ86" s="47" t="s">
        <v>269</v>
      </c>
      <c r="BA86" s="43" t="s">
        <v>272</v>
      </c>
      <c r="BC86" s="44">
        <f>AW86+AX86</f>
        <v>0</v>
      </c>
      <c r="BD86" s="44">
        <f>I86/(100-BE86)*100</f>
        <v>0</v>
      </c>
      <c r="BE86" s="44">
        <v>0</v>
      </c>
      <c r="BF86" s="44">
        <f>86</f>
        <v>86</v>
      </c>
      <c r="BH86" s="25">
        <f>H86*AO86</f>
        <v>0</v>
      </c>
      <c r="BI86" s="25">
        <f>H86*AP86</f>
        <v>0</v>
      </c>
      <c r="BJ86" s="25">
        <f>H86*I86</f>
        <v>0</v>
      </c>
      <c r="BK86" s="25" t="s">
        <v>277</v>
      </c>
      <c r="BL86" s="44">
        <v>767</v>
      </c>
    </row>
    <row r="87" spans="1:14" ht="12.75">
      <c r="A87" s="5"/>
      <c r="C87" s="18" t="s">
        <v>177</v>
      </c>
      <c r="F87" s="20"/>
      <c r="H87" s="26">
        <v>771</v>
      </c>
      <c r="M87" s="38"/>
      <c r="N87" s="5"/>
    </row>
    <row r="88" spans="1:14" ht="12.75">
      <c r="A88" s="5"/>
      <c r="C88" s="18" t="s">
        <v>178</v>
      </c>
      <c r="F88" s="20"/>
      <c r="H88" s="26">
        <v>210</v>
      </c>
      <c r="M88" s="38"/>
      <c r="N88" s="5"/>
    </row>
    <row r="89" spans="1:14" ht="12.75">
      <c r="A89" s="5"/>
      <c r="C89" s="18" t="s">
        <v>179</v>
      </c>
      <c r="F89" s="20"/>
      <c r="H89" s="26">
        <v>4484</v>
      </c>
      <c r="M89" s="38"/>
      <c r="N89" s="5"/>
    </row>
    <row r="90" spans="1:14" ht="12.75">
      <c r="A90" s="5"/>
      <c r="C90" s="18" t="s">
        <v>180</v>
      </c>
      <c r="F90" s="20"/>
      <c r="H90" s="26">
        <v>770</v>
      </c>
      <c r="M90" s="38"/>
      <c r="N90" s="5"/>
    </row>
    <row r="91" spans="1:14" ht="12.75">
      <c r="A91" s="5"/>
      <c r="C91" s="18" t="s">
        <v>181</v>
      </c>
      <c r="F91" s="20"/>
      <c r="H91" s="26">
        <v>84</v>
      </c>
      <c r="M91" s="38"/>
      <c r="N91" s="5"/>
    </row>
    <row r="92" spans="1:14" ht="12.75">
      <c r="A92" s="5"/>
      <c r="C92" s="18" t="s">
        <v>182</v>
      </c>
      <c r="F92" s="20"/>
      <c r="H92" s="26">
        <v>107</v>
      </c>
      <c r="M92" s="38"/>
      <c r="N92" s="5"/>
    </row>
    <row r="93" spans="1:64" ht="12.75">
      <c r="A93" s="7" t="s">
        <v>35</v>
      </c>
      <c r="B93" s="16" t="s">
        <v>84</v>
      </c>
      <c r="C93" s="75" t="s">
        <v>183</v>
      </c>
      <c r="D93" s="76"/>
      <c r="E93" s="76"/>
      <c r="F93" s="76"/>
      <c r="G93" s="16" t="s">
        <v>217</v>
      </c>
      <c r="H93" s="27">
        <v>0.771</v>
      </c>
      <c r="I93" s="27">
        <v>0</v>
      </c>
      <c r="J93" s="27">
        <f>H93*AO93</f>
        <v>0</v>
      </c>
      <c r="K93" s="27">
        <f>H93*AP93</f>
        <v>0</v>
      </c>
      <c r="L93" s="27">
        <f>H93*I93</f>
        <v>0</v>
      </c>
      <c r="M93" s="40" t="s">
        <v>237</v>
      </c>
      <c r="N93" s="5"/>
      <c r="Z93" s="44">
        <f>IF(AQ93="5",BJ93,0)</f>
        <v>0</v>
      </c>
      <c r="AB93" s="44">
        <f>IF(AQ93="1",BH93,0)</f>
        <v>0</v>
      </c>
      <c r="AC93" s="44">
        <f>IF(AQ93="1",BI93,0)</f>
        <v>0</v>
      </c>
      <c r="AD93" s="44">
        <f>IF(AQ93="7",BH93,0)</f>
        <v>0</v>
      </c>
      <c r="AE93" s="44">
        <f>IF(AQ93="7",BI93,0)</f>
        <v>0</v>
      </c>
      <c r="AF93" s="44">
        <f>IF(AQ93="2",BH93,0)</f>
        <v>0</v>
      </c>
      <c r="AG93" s="44">
        <f>IF(AQ93="2",BI93,0)</f>
        <v>0</v>
      </c>
      <c r="AH93" s="44">
        <f>IF(AQ93="0",BJ93,0)</f>
        <v>0</v>
      </c>
      <c r="AI93" s="43"/>
      <c r="AJ93" s="27">
        <f>IF(AN93=0,L93,0)</f>
        <v>0</v>
      </c>
      <c r="AK93" s="27">
        <f>IF(AN93=15,L93,0)</f>
        <v>0</v>
      </c>
      <c r="AL93" s="27">
        <f>IF(AN93=21,L93,0)</f>
        <v>0</v>
      </c>
      <c r="AN93" s="44">
        <v>21</v>
      </c>
      <c r="AO93" s="44">
        <f>I93*1</f>
        <v>0</v>
      </c>
      <c r="AP93" s="44">
        <f>I93*(1-1)</f>
        <v>0</v>
      </c>
      <c r="AQ93" s="46" t="s">
        <v>13</v>
      </c>
      <c r="AV93" s="44">
        <f>AW93+AX93</f>
        <v>0</v>
      </c>
      <c r="AW93" s="44">
        <f>H93*AO93</f>
        <v>0</v>
      </c>
      <c r="AX93" s="44">
        <f>H93*AP93</f>
        <v>0</v>
      </c>
      <c r="AY93" s="47" t="s">
        <v>260</v>
      </c>
      <c r="AZ93" s="47" t="s">
        <v>269</v>
      </c>
      <c r="BA93" s="43" t="s">
        <v>272</v>
      </c>
      <c r="BC93" s="44">
        <f>AW93+AX93</f>
        <v>0</v>
      </c>
      <c r="BD93" s="44">
        <f>I93/(100-BE93)*100</f>
        <v>0</v>
      </c>
      <c r="BE93" s="44">
        <v>0</v>
      </c>
      <c r="BF93" s="44">
        <f>93</f>
        <v>93</v>
      </c>
      <c r="BH93" s="27">
        <f>H93*AO93</f>
        <v>0</v>
      </c>
      <c r="BI93" s="27">
        <f>H93*AP93</f>
        <v>0</v>
      </c>
      <c r="BJ93" s="27">
        <f>H93*I93</f>
        <v>0</v>
      </c>
      <c r="BK93" s="27" t="s">
        <v>278</v>
      </c>
      <c r="BL93" s="44">
        <v>767</v>
      </c>
    </row>
    <row r="94" spans="1:14" ht="12.75">
      <c r="A94" s="5"/>
      <c r="C94" s="18" t="s">
        <v>184</v>
      </c>
      <c r="F94" s="20"/>
      <c r="H94" s="26">
        <v>0.771</v>
      </c>
      <c r="M94" s="38"/>
      <c r="N94" s="5"/>
    </row>
    <row r="95" spans="1:64" ht="12.75">
      <c r="A95" s="7" t="s">
        <v>36</v>
      </c>
      <c r="B95" s="16" t="s">
        <v>85</v>
      </c>
      <c r="C95" s="75" t="s">
        <v>185</v>
      </c>
      <c r="D95" s="76"/>
      <c r="E95" s="76"/>
      <c r="F95" s="76"/>
      <c r="G95" s="16" t="s">
        <v>217</v>
      </c>
      <c r="H95" s="27">
        <v>0.21</v>
      </c>
      <c r="I95" s="27">
        <v>0</v>
      </c>
      <c r="J95" s="27">
        <f>H95*AO95</f>
        <v>0</v>
      </c>
      <c r="K95" s="27">
        <f>H95*AP95</f>
        <v>0</v>
      </c>
      <c r="L95" s="27">
        <f>H95*I95</f>
        <v>0</v>
      </c>
      <c r="M95" s="40" t="s">
        <v>237</v>
      </c>
      <c r="N95" s="5"/>
      <c r="Z95" s="44">
        <f>IF(AQ95="5",BJ95,0)</f>
        <v>0</v>
      </c>
      <c r="AB95" s="44">
        <f>IF(AQ95="1",BH95,0)</f>
        <v>0</v>
      </c>
      <c r="AC95" s="44">
        <f>IF(AQ95="1",BI95,0)</f>
        <v>0</v>
      </c>
      <c r="AD95" s="44">
        <f>IF(AQ95="7",BH95,0)</f>
        <v>0</v>
      </c>
      <c r="AE95" s="44">
        <f>IF(AQ95="7",BI95,0)</f>
        <v>0</v>
      </c>
      <c r="AF95" s="44">
        <f>IF(AQ95="2",BH95,0)</f>
        <v>0</v>
      </c>
      <c r="AG95" s="44">
        <f>IF(AQ95="2",BI95,0)</f>
        <v>0</v>
      </c>
      <c r="AH95" s="44">
        <f>IF(AQ95="0",BJ95,0)</f>
        <v>0</v>
      </c>
      <c r="AI95" s="43"/>
      <c r="AJ95" s="27">
        <f>IF(AN95=0,L95,0)</f>
        <v>0</v>
      </c>
      <c r="AK95" s="27">
        <f>IF(AN95=15,L95,0)</f>
        <v>0</v>
      </c>
      <c r="AL95" s="27">
        <f>IF(AN95=21,L95,0)</f>
        <v>0</v>
      </c>
      <c r="AN95" s="44">
        <v>21</v>
      </c>
      <c r="AO95" s="44">
        <f>I95*1</f>
        <v>0</v>
      </c>
      <c r="AP95" s="44">
        <f>I95*(1-1)</f>
        <v>0</v>
      </c>
      <c r="AQ95" s="46" t="s">
        <v>13</v>
      </c>
      <c r="AV95" s="44">
        <f>AW95+AX95</f>
        <v>0</v>
      </c>
      <c r="AW95" s="44">
        <f>H95*AO95</f>
        <v>0</v>
      </c>
      <c r="AX95" s="44">
        <f>H95*AP95</f>
        <v>0</v>
      </c>
      <c r="AY95" s="47" t="s">
        <v>260</v>
      </c>
      <c r="AZ95" s="47" t="s">
        <v>269</v>
      </c>
      <c r="BA95" s="43" t="s">
        <v>272</v>
      </c>
      <c r="BC95" s="44">
        <f>AW95+AX95</f>
        <v>0</v>
      </c>
      <c r="BD95" s="44">
        <f>I95/(100-BE95)*100</f>
        <v>0</v>
      </c>
      <c r="BE95" s="44">
        <v>0</v>
      </c>
      <c r="BF95" s="44">
        <f>95</f>
        <v>95</v>
      </c>
      <c r="BH95" s="27">
        <f>H95*AO95</f>
        <v>0</v>
      </c>
      <c r="BI95" s="27">
        <f>H95*AP95</f>
        <v>0</v>
      </c>
      <c r="BJ95" s="27">
        <f>H95*I95</f>
        <v>0</v>
      </c>
      <c r="BK95" s="27" t="s">
        <v>278</v>
      </c>
      <c r="BL95" s="44">
        <v>767</v>
      </c>
    </row>
    <row r="96" spans="1:14" ht="12.75">
      <c r="A96" s="5"/>
      <c r="C96" s="18" t="s">
        <v>186</v>
      </c>
      <c r="F96" s="20"/>
      <c r="H96" s="26">
        <v>0.21</v>
      </c>
      <c r="M96" s="38"/>
      <c r="N96" s="5"/>
    </row>
    <row r="97" spans="1:64" ht="12.75">
      <c r="A97" s="7" t="s">
        <v>37</v>
      </c>
      <c r="B97" s="16" t="s">
        <v>86</v>
      </c>
      <c r="C97" s="75" t="s">
        <v>187</v>
      </c>
      <c r="D97" s="76"/>
      <c r="E97" s="76"/>
      <c r="F97" s="76"/>
      <c r="G97" s="16" t="s">
        <v>217</v>
      </c>
      <c r="H97" s="27">
        <v>4.484</v>
      </c>
      <c r="I97" s="27">
        <v>0</v>
      </c>
      <c r="J97" s="27">
        <f>H97*AO97</f>
        <v>0</v>
      </c>
      <c r="K97" s="27">
        <f>H97*AP97</f>
        <v>0</v>
      </c>
      <c r="L97" s="27">
        <f>H97*I97</f>
        <v>0</v>
      </c>
      <c r="M97" s="40" t="s">
        <v>237</v>
      </c>
      <c r="N97" s="5"/>
      <c r="Z97" s="44">
        <f>IF(AQ97="5",BJ97,0)</f>
        <v>0</v>
      </c>
      <c r="AB97" s="44">
        <f>IF(AQ97="1",BH97,0)</f>
        <v>0</v>
      </c>
      <c r="AC97" s="44">
        <f>IF(AQ97="1",BI97,0)</f>
        <v>0</v>
      </c>
      <c r="AD97" s="44">
        <f>IF(AQ97="7",BH97,0)</f>
        <v>0</v>
      </c>
      <c r="AE97" s="44">
        <f>IF(AQ97="7",BI97,0)</f>
        <v>0</v>
      </c>
      <c r="AF97" s="44">
        <f>IF(AQ97="2",BH97,0)</f>
        <v>0</v>
      </c>
      <c r="AG97" s="44">
        <f>IF(AQ97="2",BI97,0)</f>
        <v>0</v>
      </c>
      <c r="AH97" s="44">
        <f>IF(AQ97="0",BJ97,0)</f>
        <v>0</v>
      </c>
      <c r="AI97" s="43"/>
      <c r="AJ97" s="27">
        <f>IF(AN97=0,L97,0)</f>
        <v>0</v>
      </c>
      <c r="AK97" s="27">
        <f>IF(AN97=15,L97,0)</f>
        <v>0</v>
      </c>
      <c r="AL97" s="27">
        <f>IF(AN97=21,L97,0)</f>
        <v>0</v>
      </c>
      <c r="AN97" s="44">
        <v>21</v>
      </c>
      <c r="AO97" s="44">
        <f>I97*1</f>
        <v>0</v>
      </c>
      <c r="AP97" s="44">
        <f>I97*(1-1)</f>
        <v>0</v>
      </c>
      <c r="AQ97" s="46" t="s">
        <v>13</v>
      </c>
      <c r="AV97" s="44">
        <f>AW97+AX97</f>
        <v>0</v>
      </c>
      <c r="AW97" s="44">
        <f>H97*AO97</f>
        <v>0</v>
      </c>
      <c r="AX97" s="44">
        <f>H97*AP97</f>
        <v>0</v>
      </c>
      <c r="AY97" s="47" t="s">
        <v>260</v>
      </c>
      <c r="AZ97" s="47" t="s">
        <v>269</v>
      </c>
      <c r="BA97" s="43" t="s">
        <v>272</v>
      </c>
      <c r="BC97" s="44">
        <f>AW97+AX97</f>
        <v>0</v>
      </c>
      <c r="BD97" s="44">
        <f>I97/(100-BE97)*100</f>
        <v>0</v>
      </c>
      <c r="BE97" s="44">
        <v>0</v>
      </c>
      <c r="BF97" s="44">
        <f>97</f>
        <v>97</v>
      </c>
      <c r="BH97" s="27">
        <f>H97*AO97</f>
        <v>0</v>
      </c>
      <c r="BI97" s="27">
        <f>H97*AP97</f>
        <v>0</v>
      </c>
      <c r="BJ97" s="27">
        <f>H97*I97</f>
        <v>0</v>
      </c>
      <c r="BK97" s="27" t="s">
        <v>278</v>
      </c>
      <c r="BL97" s="44">
        <v>767</v>
      </c>
    </row>
    <row r="98" spans="1:14" ht="12.75">
      <c r="A98" s="5"/>
      <c r="C98" s="18" t="s">
        <v>188</v>
      </c>
      <c r="F98" s="20"/>
      <c r="H98" s="26">
        <v>4.484</v>
      </c>
      <c r="M98" s="38"/>
      <c r="N98" s="5"/>
    </row>
    <row r="99" spans="1:64" ht="12.75">
      <c r="A99" s="7" t="s">
        <v>38</v>
      </c>
      <c r="B99" s="16" t="s">
        <v>87</v>
      </c>
      <c r="C99" s="75" t="s">
        <v>189</v>
      </c>
      <c r="D99" s="76"/>
      <c r="E99" s="76"/>
      <c r="F99" s="76"/>
      <c r="G99" s="16" t="s">
        <v>217</v>
      </c>
      <c r="H99" s="27">
        <v>0.77</v>
      </c>
      <c r="I99" s="27">
        <v>0</v>
      </c>
      <c r="J99" s="27">
        <f>H99*AO99</f>
        <v>0</v>
      </c>
      <c r="K99" s="27">
        <f>H99*AP99</f>
        <v>0</v>
      </c>
      <c r="L99" s="27">
        <f>H99*I99</f>
        <v>0</v>
      </c>
      <c r="M99" s="40" t="s">
        <v>237</v>
      </c>
      <c r="N99" s="5"/>
      <c r="Z99" s="44">
        <f>IF(AQ99="5",BJ99,0)</f>
        <v>0</v>
      </c>
      <c r="AB99" s="44">
        <f>IF(AQ99="1",BH99,0)</f>
        <v>0</v>
      </c>
      <c r="AC99" s="44">
        <f>IF(AQ99="1",BI99,0)</f>
        <v>0</v>
      </c>
      <c r="AD99" s="44">
        <f>IF(AQ99="7",BH99,0)</f>
        <v>0</v>
      </c>
      <c r="AE99" s="44">
        <f>IF(AQ99="7",BI99,0)</f>
        <v>0</v>
      </c>
      <c r="AF99" s="44">
        <f>IF(AQ99="2",BH99,0)</f>
        <v>0</v>
      </c>
      <c r="AG99" s="44">
        <f>IF(AQ99="2",BI99,0)</f>
        <v>0</v>
      </c>
      <c r="AH99" s="44">
        <f>IF(AQ99="0",BJ99,0)</f>
        <v>0</v>
      </c>
      <c r="AI99" s="43"/>
      <c r="AJ99" s="27">
        <f>IF(AN99=0,L99,0)</f>
        <v>0</v>
      </c>
      <c r="AK99" s="27">
        <f>IF(AN99=15,L99,0)</f>
        <v>0</v>
      </c>
      <c r="AL99" s="27">
        <f>IF(AN99=21,L99,0)</f>
        <v>0</v>
      </c>
      <c r="AN99" s="44">
        <v>21</v>
      </c>
      <c r="AO99" s="44">
        <f>I99*1</f>
        <v>0</v>
      </c>
      <c r="AP99" s="44">
        <f>I99*(1-1)</f>
        <v>0</v>
      </c>
      <c r="AQ99" s="46" t="s">
        <v>13</v>
      </c>
      <c r="AV99" s="44">
        <f>AW99+AX99</f>
        <v>0</v>
      </c>
      <c r="AW99" s="44">
        <f>H99*AO99</f>
        <v>0</v>
      </c>
      <c r="AX99" s="44">
        <f>H99*AP99</f>
        <v>0</v>
      </c>
      <c r="AY99" s="47" t="s">
        <v>260</v>
      </c>
      <c r="AZ99" s="47" t="s">
        <v>269</v>
      </c>
      <c r="BA99" s="43" t="s">
        <v>272</v>
      </c>
      <c r="BC99" s="44">
        <f>AW99+AX99</f>
        <v>0</v>
      </c>
      <c r="BD99" s="44">
        <f>I99/(100-BE99)*100</f>
        <v>0</v>
      </c>
      <c r="BE99" s="44">
        <v>0</v>
      </c>
      <c r="BF99" s="44">
        <f>99</f>
        <v>99</v>
      </c>
      <c r="BH99" s="27">
        <f>H99*AO99</f>
        <v>0</v>
      </c>
      <c r="BI99" s="27">
        <f>H99*AP99</f>
        <v>0</v>
      </c>
      <c r="BJ99" s="27">
        <f>H99*I99</f>
        <v>0</v>
      </c>
      <c r="BK99" s="27" t="s">
        <v>278</v>
      </c>
      <c r="BL99" s="44">
        <v>767</v>
      </c>
    </row>
    <row r="100" spans="1:14" ht="12.75">
      <c r="A100" s="5"/>
      <c r="C100" s="18" t="s">
        <v>190</v>
      </c>
      <c r="F100" s="20"/>
      <c r="H100" s="26">
        <v>0.77</v>
      </c>
      <c r="M100" s="38"/>
      <c r="N100" s="5"/>
    </row>
    <row r="101" spans="1:64" ht="12.75">
      <c r="A101" s="7" t="s">
        <v>39</v>
      </c>
      <c r="B101" s="16" t="s">
        <v>88</v>
      </c>
      <c r="C101" s="75" t="s">
        <v>191</v>
      </c>
      <c r="D101" s="76"/>
      <c r="E101" s="76"/>
      <c r="F101" s="76"/>
      <c r="G101" s="16" t="s">
        <v>217</v>
      </c>
      <c r="H101" s="27">
        <v>0.084</v>
      </c>
      <c r="I101" s="27">
        <v>0</v>
      </c>
      <c r="J101" s="27">
        <f>H101*AO101</f>
        <v>0</v>
      </c>
      <c r="K101" s="27">
        <f>H101*AP101</f>
        <v>0</v>
      </c>
      <c r="L101" s="27">
        <f>H101*I101</f>
        <v>0</v>
      </c>
      <c r="M101" s="40" t="s">
        <v>237</v>
      </c>
      <c r="N101" s="5"/>
      <c r="Z101" s="44">
        <f>IF(AQ101="5",BJ101,0)</f>
        <v>0</v>
      </c>
      <c r="AB101" s="44">
        <f>IF(AQ101="1",BH101,0)</f>
        <v>0</v>
      </c>
      <c r="AC101" s="44">
        <f>IF(AQ101="1",BI101,0)</f>
        <v>0</v>
      </c>
      <c r="AD101" s="44">
        <f>IF(AQ101="7",BH101,0)</f>
        <v>0</v>
      </c>
      <c r="AE101" s="44">
        <f>IF(AQ101="7",BI101,0)</f>
        <v>0</v>
      </c>
      <c r="AF101" s="44">
        <f>IF(AQ101="2",BH101,0)</f>
        <v>0</v>
      </c>
      <c r="AG101" s="44">
        <f>IF(AQ101="2",BI101,0)</f>
        <v>0</v>
      </c>
      <c r="AH101" s="44">
        <f>IF(AQ101="0",BJ101,0)</f>
        <v>0</v>
      </c>
      <c r="AI101" s="43"/>
      <c r="AJ101" s="27">
        <f>IF(AN101=0,L101,0)</f>
        <v>0</v>
      </c>
      <c r="AK101" s="27">
        <f>IF(AN101=15,L101,0)</f>
        <v>0</v>
      </c>
      <c r="AL101" s="27">
        <f>IF(AN101=21,L101,0)</f>
        <v>0</v>
      </c>
      <c r="AN101" s="44">
        <v>21</v>
      </c>
      <c r="AO101" s="44">
        <f>I101*1</f>
        <v>0</v>
      </c>
      <c r="AP101" s="44">
        <f>I101*(1-1)</f>
        <v>0</v>
      </c>
      <c r="AQ101" s="46" t="s">
        <v>13</v>
      </c>
      <c r="AV101" s="44">
        <f>AW101+AX101</f>
        <v>0</v>
      </c>
      <c r="AW101" s="44">
        <f>H101*AO101</f>
        <v>0</v>
      </c>
      <c r="AX101" s="44">
        <f>H101*AP101</f>
        <v>0</v>
      </c>
      <c r="AY101" s="47" t="s">
        <v>260</v>
      </c>
      <c r="AZ101" s="47" t="s">
        <v>269</v>
      </c>
      <c r="BA101" s="43" t="s">
        <v>272</v>
      </c>
      <c r="BC101" s="44">
        <f>AW101+AX101</f>
        <v>0</v>
      </c>
      <c r="BD101" s="44">
        <f>I101/(100-BE101)*100</f>
        <v>0</v>
      </c>
      <c r="BE101" s="44">
        <v>0</v>
      </c>
      <c r="BF101" s="44">
        <f>101</f>
        <v>101</v>
      </c>
      <c r="BH101" s="27">
        <f>H101*AO101</f>
        <v>0</v>
      </c>
      <c r="BI101" s="27">
        <f>H101*AP101</f>
        <v>0</v>
      </c>
      <c r="BJ101" s="27">
        <f>H101*I101</f>
        <v>0</v>
      </c>
      <c r="BK101" s="27" t="s">
        <v>278</v>
      </c>
      <c r="BL101" s="44">
        <v>767</v>
      </c>
    </row>
    <row r="102" spans="1:14" ht="12.75">
      <c r="A102" s="5"/>
      <c r="C102" s="18" t="s">
        <v>192</v>
      </c>
      <c r="F102" s="20"/>
      <c r="H102" s="26">
        <v>0.084</v>
      </c>
      <c r="M102" s="38"/>
      <c r="N102" s="5"/>
    </row>
    <row r="103" spans="1:64" ht="12.75">
      <c r="A103" s="7" t="s">
        <v>40</v>
      </c>
      <c r="B103" s="16" t="s">
        <v>89</v>
      </c>
      <c r="C103" s="75" t="s">
        <v>193</v>
      </c>
      <c r="D103" s="76"/>
      <c r="E103" s="76"/>
      <c r="F103" s="76"/>
      <c r="G103" s="16" t="s">
        <v>218</v>
      </c>
      <c r="H103" s="27">
        <v>28.4</v>
      </c>
      <c r="I103" s="27">
        <v>0</v>
      </c>
      <c r="J103" s="27">
        <f>H103*AO103</f>
        <v>0</v>
      </c>
      <c r="K103" s="27">
        <f>H103*AP103</f>
        <v>0</v>
      </c>
      <c r="L103" s="27">
        <f>H103*I103</f>
        <v>0</v>
      </c>
      <c r="M103" s="40" t="s">
        <v>237</v>
      </c>
      <c r="N103" s="5"/>
      <c r="Z103" s="44">
        <f>IF(AQ103="5",BJ103,0)</f>
        <v>0</v>
      </c>
      <c r="AB103" s="44">
        <f>IF(AQ103="1",BH103,0)</f>
        <v>0</v>
      </c>
      <c r="AC103" s="44">
        <f>IF(AQ103="1",BI103,0)</f>
        <v>0</v>
      </c>
      <c r="AD103" s="44">
        <f>IF(AQ103="7",BH103,0)</f>
        <v>0</v>
      </c>
      <c r="AE103" s="44">
        <f>IF(AQ103="7",BI103,0)</f>
        <v>0</v>
      </c>
      <c r="AF103" s="44">
        <f>IF(AQ103="2",BH103,0)</f>
        <v>0</v>
      </c>
      <c r="AG103" s="44">
        <f>IF(AQ103="2",BI103,0)</f>
        <v>0</v>
      </c>
      <c r="AH103" s="44">
        <f>IF(AQ103="0",BJ103,0)</f>
        <v>0</v>
      </c>
      <c r="AI103" s="43"/>
      <c r="AJ103" s="27">
        <f>IF(AN103=0,L103,0)</f>
        <v>0</v>
      </c>
      <c r="AK103" s="27">
        <f>IF(AN103=15,L103,0)</f>
        <v>0</v>
      </c>
      <c r="AL103" s="27">
        <f>IF(AN103=21,L103,0)</f>
        <v>0</v>
      </c>
      <c r="AN103" s="44">
        <v>21</v>
      </c>
      <c r="AO103" s="44">
        <f>I103*1</f>
        <v>0</v>
      </c>
      <c r="AP103" s="44">
        <f>I103*(1-1)</f>
        <v>0</v>
      </c>
      <c r="AQ103" s="46" t="s">
        <v>13</v>
      </c>
      <c r="AV103" s="44">
        <f>AW103+AX103</f>
        <v>0</v>
      </c>
      <c r="AW103" s="44">
        <f>H103*AO103</f>
        <v>0</v>
      </c>
      <c r="AX103" s="44">
        <f>H103*AP103</f>
        <v>0</v>
      </c>
      <c r="AY103" s="47" t="s">
        <v>260</v>
      </c>
      <c r="AZ103" s="47" t="s">
        <v>269</v>
      </c>
      <c r="BA103" s="43" t="s">
        <v>272</v>
      </c>
      <c r="BC103" s="44">
        <f>AW103+AX103</f>
        <v>0</v>
      </c>
      <c r="BD103" s="44">
        <f>I103/(100-BE103)*100</f>
        <v>0</v>
      </c>
      <c r="BE103" s="44">
        <v>0</v>
      </c>
      <c r="BF103" s="44">
        <f>103</f>
        <v>103</v>
      </c>
      <c r="BH103" s="27">
        <f>H103*AO103</f>
        <v>0</v>
      </c>
      <c r="BI103" s="27">
        <f>H103*AP103</f>
        <v>0</v>
      </c>
      <c r="BJ103" s="27">
        <f>H103*I103</f>
        <v>0</v>
      </c>
      <c r="BK103" s="27" t="s">
        <v>278</v>
      </c>
      <c r="BL103" s="44">
        <v>767</v>
      </c>
    </row>
    <row r="104" spans="1:14" ht="12.75">
      <c r="A104" s="5"/>
      <c r="C104" s="18" t="s">
        <v>194</v>
      </c>
      <c r="F104" s="20"/>
      <c r="H104" s="26">
        <v>28.4</v>
      </c>
      <c r="M104" s="38"/>
      <c r="N104" s="5"/>
    </row>
    <row r="105" spans="1:64" ht="12.75">
      <c r="A105" s="7" t="s">
        <v>41</v>
      </c>
      <c r="B105" s="16" t="s">
        <v>90</v>
      </c>
      <c r="C105" s="75" t="s">
        <v>195</v>
      </c>
      <c r="D105" s="76"/>
      <c r="E105" s="76"/>
      <c r="F105" s="76"/>
      <c r="G105" s="16" t="s">
        <v>217</v>
      </c>
      <c r="H105" s="27">
        <v>0.763</v>
      </c>
      <c r="I105" s="27">
        <v>0</v>
      </c>
      <c r="J105" s="27">
        <f>H105*AO105</f>
        <v>0</v>
      </c>
      <c r="K105" s="27">
        <f>H105*AP105</f>
        <v>0</v>
      </c>
      <c r="L105" s="27">
        <f>H105*I105</f>
        <v>0</v>
      </c>
      <c r="M105" s="40" t="s">
        <v>238</v>
      </c>
      <c r="N105" s="5"/>
      <c r="Z105" s="44">
        <f>IF(AQ105="5",BJ105,0)</f>
        <v>0</v>
      </c>
      <c r="AB105" s="44">
        <f>IF(AQ105="1",BH105,0)</f>
        <v>0</v>
      </c>
      <c r="AC105" s="44">
        <f>IF(AQ105="1",BI105,0)</f>
        <v>0</v>
      </c>
      <c r="AD105" s="44">
        <f>IF(AQ105="7",BH105,0)</f>
        <v>0</v>
      </c>
      <c r="AE105" s="44">
        <f>IF(AQ105="7",BI105,0)</f>
        <v>0</v>
      </c>
      <c r="AF105" s="44">
        <f>IF(AQ105="2",BH105,0)</f>
        <v>0</v>
      </c>
      <c r="AG105" s="44">
        <f>IF(AQ105="2",BI105,0)</f>
        <v>0</v>
      </c>
      <c r="AH105" s="44">
        <f>IF(AQ105="0",BJ105,0)</f>
        <v>0</v>
      </c>
      <c r="AI105" s="43"/>
      <c r="AJ105" s="27">
        <f>IF(AN105=0,L105,0)</f>
        <v>0</v>
      </c>
      <c r="AK105" s="27">
        <f>IF(AN105=15,L105,0)</f>
        <v>0</v>
      </c>
      <c r="AL105" s="27">
        <f>IF(AN105=21,L105,0)</f>
        <v>0</v>
      </c>
      <c r="AN105" s="44">
        <v>21</v>
      </c>
      <c r="AO105" s="44">
        <f>I105*1</f>
        <v>0</v>
      </c>
      <c r="AP105" s="44">
        <f>I105*(1-1)</f>
        <v>0</v>
      </c>
      <c r="AQ105" s="46" t="s">
        <v>13</v>
      </c>
      <c r="AV105" s="44">
        <f>AW105+AX105</f>
        <v>0</v>
      </c>
      <c r="AW105" s="44">
        <f>H105*AO105</f>
        <v>0</v>
      </c>
      <c r="AX105" s="44">
        <f>H105*AP105</f>
        <v>0</v>
      </c>
      <c r="AY105" s="47" t="s">
        <v>260</v>
      </c>
      <c r="AZ105" s="47" t="s">
        <v>269</v>
      </c>
      <c r="BA105" s="43" t="s">
        <v>272</v>
      </c>
      <c r="BC105" s="44">
        <f>AW105+AX105</f>
        <v>0</v>
      </c>
      <c r="BD105" s="44">
        <f>I105/(100-BE105)*100</f>
        <v>0</v>
      </c>
      <c r="BE105" s="44">
        <v>0</v>
      </c>
      <c r="BF105" s="44">
        <f>105</f>
        <v>105</v>
      </c>
      <c r="BH105" s="27">
        <f>H105*AO105</f>
        <v>0</v>
      </c>
      <c r="BI105" s="27">
        <f>H105*AP105</f>
        <v>0</v>
      </c>
      <c r="BJ105" s="27">
        <f>H105*I105</f>
        <v>0</v>
      </c>
      <c r="BK105" s="27" t="s">
        <v>278</v>
      </c>
      <c r="BL105" s="44">
        <v>767</v>
      </c>
    </row>
    <row r="106" spans="1:14" ht="12.75">
      <c r="A106" s="5"/>
      <c r="C106" s="18" t="s">
        <v>196</v>
      </c>
      <c r="F106" s="20"/>
      <c r="H106" s="26">
        <v>0.763</v>
      </c>
      <c r="M106" s="38"/>
      <c r="N106" s="5"/>
    </row>
    <row r="107" spans="1:64" ht="12.75">
      <c r="A107" s="4" t="s">
        <v>42</v>
      </c>
      <c r="B107" s="14" t="s">
        <v>91</v>
      </c>
      <c r="C107" s="67" t="s">
        <v>197</v>
      </c>
      <c r="D107" s="68"/>
      <c r="E107" s="68"/>
      <c r="F107" s="68"/>
      <c r="G107" s="14" t="s">
        <v>217</v>
      </c>
      <c r="H107" s="25">
        <v>6.235</v>
      </c>
      <c r="I107" s="25">
        <v>0</v>
      </c>
      <c r="J107" s="25">
        <f>H107*AO107</f>
        <v>0</v>
      </c>
      <c r="K107" s="25">
        <f>H107*AP107</f>
        <v>0</v>
      </c>
      <c r="L107" s="25">
        <f>H107*I107</f>
        <v>0</v>
      </c>
      <c r="M107" s="37" t="s">
        <v>237</v>
      </c>
      <c r="N107" s="5"/>
      <c r="Z107" s="44">
        <f>IF(AQ107="5",BJ107,0)</f>
        <v>0</v>
      </c>
      <c r="AB107" s="44">
        <f>IF(AQ107="1",BH107,0)</f>
        <v>0</v>
      </c>
      <c r="AC107" s="44">
        <f>IF(AQ107="1",BI107,0)</f>
        <v>0</v>
      </c>
      <c r="AD107" s="44">
        <f>IF(AQ107="7",BH107,0)</f>
        <v>0</v>
      </c>
      <c r="AE107" s="44">
        <f>IF(AQ107="7",BI107,0)</f>
        <v>0</v>
      </c>
      <c r="AF107" s="44">
        <f>IF(AQ107="2",BH107,0)</f>
        <v>0</v>
      </c>
      <c r="AG107" s="44">
        <f>IF(AQ107="2",BI107,0)</f>
        <v>0</v>
      </c>
      <c r="AH107" s="44">
        <f>IF(AQ107="0",BJ107,0)</f>
        <v>0</v>
      </c>
      <c r="AI107" s="43"/>
      <c r="AJ107" s="25">
        <f>IF(AN107=0,L107,0)</f>
        <v>0</v>
      </c>
      <c r="AK107" s="25">
        <f>IF(AN107=15,L107,0)</f>
        <v>0</v>
      </c>
      <c r="AL107" s="25">
        <f>IF(AN107=21,L107,0)</f>
        <v>0</v>
      </c>
      <c r="AN107" s="44">
        <v>21</v>
      </c>
      <c r="AO107" s="44">
        <f>I107*0</f>
        <v>0</v>
      </c>
      <c r="AP107" s="44">
        <f>I107*(1-0)</f>
        <v>0</v>
      </c>
      <c r="AQ107" s="45" t="s">
        <v>11</v>
      </c>
      <c r="AV107" s="44">
        <f>AW107+AX107</f>
        <v>0</v>
      </c>
      <c r="AW107" s="44">
        <f>H107*AO107</f>
        <v>0</v>
      </c>
      <c r="AX107" s="44">
        <f>H107*AP107</f>
        <v>0</v>
      </c>
      <c r="AY107" s="47" t="s">
        <v>260</v>
      </c>
      <c r="AZ107" s="47" t="s">
        <v>269</v>
      </c>
      <c r="BA107" s="43" t="s">
        <v>272</v>
      </c>
      <c r="BC107" s="44">
        <f>AW107+AX107</f>
        <v>0</v>
      </c>
      <c r="BD107" s="44">
        <f>I107/(100-BE107)*100</f>
        <v>0</v>
      </c>
      <c r="BE107" s="44">
        <v>0</v>
      </c>
      <c r="BF107" s="44">
        <f>107</f>
        <v>107</v>
      </c>
      <c r="BH107" s="25">
        <f>H107*AO107</f>
        <v>0</v>
      </c>
      <c r="BI107" s="25">
        <f>H107*AP107</f>
        <v>0</v>
      </c>
      <c r="BJ107" s="25">
        <f>H107*I107</f>
        <v>0</v>
      </c>
      <c r="BK107" s="25" t="s">
        <v>277</v>
      </c>
      <c r="BL107" s="44">
        <v>767</v>
      </c>
    </row>
    <row r="108" spans="1:47" ht="12.75">
      <c r="A108" s="6"/>
      <c r="B108" s="15" t="s">
        <v>92</v>
      </c>
      <c r="C108" s="73" t="s">
        <v>198</v>
      </c>
      <c r="D108" s="74"/>
      <c r="E108" s="74"/>
      <c r="F108" s="74"/>
      <c r="G108" s="23" t="s">
        <v>6</v>
      </c>
      <c r="H108" s="23" t="s">
        <v>6</v>
      </c>
      <c r="I108" s="23" t="s">
        <v>6</v>
      </c>
      <c r="J108" s="50">
        <f>SUM(J109:J109)</f>
        <v>0</v>
      </c>
      <c r="K108" s="50">
        <f>SUM(K109:K109)</f>
        <v>0</v>
      </c>
      <c r="L108" s="50">
        <f>SUM(L109:L109)</f>
        <v>0</v>
      </c>
      <c r="M108" s="39"/>
      <c r="N108" s="5"/>
      <c r="AI108" s="43"/>
      <c r="AS108" s="50">
        <f>SUM(AJ109:AJ109)</f>
        <v>0</v>
      </c>
      <c r="AT108" s="50">
        <f>SUM(AK109:AK109)</f>
        <v>0</v>
      </c>
      <c r="AU108" s="50">
        <f>SUM(AL109:AL109)</f>
        <v>0</v>
      </c>
    </row>
    <row r="109" spans="1:64" ht="12.75">
      <c r="A109" s="4" t="s">
        <v>43</v>
      </c>
      <c r="B109" s="14" t="s">
        <v>93</v>
      </c>
      <c r="C109" s="67" t="s">
        <v>199</v>
      </c>
      <c r="D109" s="68"/>
      <c r="E109" s="68"/>
      <c r="F109" s="68"/>
      <c r="G109" s="14" t="s">
        <v>220</v>
      </c>
      <c r="H109" s="25">
        <v>6426</v>
      </c>
      <c r="I109" s="25">
        <v>0</v>
      </c>
      <c r="J109" s="25">
        <f>H109*AO109</f>
        <v>0</v>
      </c>
      <c r="K109" s="25">
        <f>H109*AP109</f>
        <v>0</v>
      </c>
      <c r="L109" s="25">
        <f>H109*I109</f>
        <v>0</v>
      </c>
      <c r="M109" s="37"/>
      <c r="N109" s="5"/>
      <c r="Z109" s="44">
        <f>IF(AQ109="5",BJ109,0)</f>
        <v>0</v>
      </c>
      <c r="AB109" s="44">
        <f>IF(AQ109="1",BH109,0)</f>
        <v>0</v>
      </c>
      <c r="AC109" s="44">
        <f>IF(AQ109="1",BI109,0)</f>
        <v>0</v>
      </c>
      <c r="AD109" s="44">
        <f>IF(AQ109="7",BH109,0)</f>
        <v>0</v>
      </c>
      <c r="AE109" s="44">
        <f>IF(AQ109="7",BI109,0)</f>
        <v>0</v>
      </c>
      <c r="AF109" s="44">
        <f>IF(AQ109="2",BH109,0)</f>
        <v>0</v>
      </c>
      <c r="AG109" s="44">
        <f>IF(AQ109="2",BI109,0)</f>
        <v>0</v>
      </c>
      <c r="AH109" s="44">
        <f>IF(AQ109="0",BJ109,0)</f>
        <v>0</v>
      </c>
      <c r="AI109" s="43"/>
      <c r="AJ109" s="25">
        <f>IF(AN109=0,L109,0)</f>
        <v>0</v>
      </c>
      <c r="AK109" s="25">
        <f>IF(AN109=15,L109,0)</f>
        <v>0</v>
      </c>
      <c r="AL109" s="25">
        <f>IF(AN109=21,L109,0)</f>
        <v>0</v>
      </c>
      <c r="AN109" s="44">
        <v>21</v>
      </c>
      <c r="AO109" s="44">
        <f>I109*0.8</f>
        <v>0</v>
      </c>
      <c r="AP109" s="44">
        <f>I109*(1-0.8)</f>
        <v>0</v>
      </c>
      <c r="AQ109" s="45" t="s">
        <v>13</v>
      </c>
      <c r="AV109" s="44">
        <f>AW109+AX109</f>
        <v>0</v>
      </c>
      <c r="AW109" s="44">
        <f>H109*AO109</f>
        <v>0</v>
      </c>
      <c r="AX109" s="44">
        <f>H109*AP109</f>
        <v>0</v>
      </c>
      <c r="AY109" s="47" t="s">
        <v>261</v>
      </c>
      <c r="AZ109" s="47" t="s">
        <v>270</v>
      </c>
      <c r="BA109" s="43" t="s">
        <v>272</v>
      </c>
      <c r="BC109" s="44">
        <f>AW109+AX109</f>
        <v>0</v>
      </c>
      <c r="BD109" s="44">
        <f>I109/(100-BE109)*100</f>
        <v>0</v>
      </c>
      <c r="BE109" s="44">
        <v>0</v>
      </c>
      <c r="BF109" s="44">
        <f>109</f>
        <v>109</v>
      </c>
      <c r="BH109" s="25">
        <f>H109*AO109</f>
        <v>0</v>
      </c>
      <c r="BI109" s="25">
        <f>H109*AP109</f>
        <v>0</v>
      </c>
      <c r="BJ109" s="25">
        <f>H109*I109</f>
        <v>0</v>
      </c>
      <c r="BK109" s="25" t="s">
        <v>277</v>
      </c>
      <c r="BL109" s="44">
        <v>783</v>
      </c>
    </row>
    <row r="110" spans="1:47" ht="12.75">
      <c r="A110" s="6"/>
      <c r="B110" s="15" t="s">
        <v>94</v>
      </c>
      <c r="C110" s="73" t="s">
        <v>200</v>
      </c>
      <c r="D110" s="74"/>
      <c r="E110" s="74"/>
      <c r="F110" s="74"/>
      <c r="G110" s="23" t="s">
        <v>6</v>
      </c>
      <c r="H110" s="23" t="s">
        <v>6</v>
      </c>
      <c r="I110" s="23" t="s">
        <v>6</v>
      </c>
      <c r="J110" s="50">
        <f>SUM(J111:J116)</f>
        <v>0</v>
      </c>
      <c r="K110" s="50">
        <f>SUM(K111:K116)</f>
        <v>0</v>
      </c>
      <c r="L110" s="50">
        <f>SUM(L111:L116)</f>
        <v>0</v>
      </c>
      <c r="M110" s="39"/>
      <c r="N110" s="5"/>
      <c r="AI110" s="43"/>
      <c r="AS110" s="50">
        <f>SUM(AJ111:AJ116)</f>
        <v>0</v>
      </c>
      <c r="AT110" s="50">
        <f>SUM(AK111:AK116)</f>
        <v>0</v>
      </c>
      <c r="AU110" s="50">
        <f>SUM(AL111:AL116)</f>
        <v>0</v>
      </c>
    </row>
    <row r="111" spans="1:64" ht="12.75">
      <c r="A111" s="4" t="s">
        <v>44</v>
      </c>
      <c r="B111" s="14" t="s">
        <v>95</v>
      </c>
      <c r="C111" s="67" t="s">
        <v>201</v>
      </c>
      <c r="D111" s="68"/>
      <c r="E111" s="68"/>
      <c r="F111" s="68"/>
      <c r="G111" s="14" t="s">
        <v>219</v>
      </c>
      <c r="H111" s="25">
        <v>32</v>
      </c>
      <c r="I111" s="25">
        <v>0</v>
      </c>
      <c r="J111" s="25">
        <f>H111*AO111</f>
        <v>0</v>
      </c>
      <c r="K111" s="25">
        <f>H111*AP111</f>
        <v>0</v>
      </c>
      <c r="L111" s="25">
        <f>H111*I111</f>
        <v>0</v>
      </c>
      <c r="M111" s="37" t="s">
        <v>237</v>
      </c>
      <c r="N111" s="5"/>
      <c r="Z111" s="44">
        <f>IF(AQ111="5",BJ111,0)</f>
        <v>0</v>
      </c>
      <c r="AB111" s="44">
        <f>IF(AQ111="1",BH111,0)</f>
        <v>0</v>
      </c>
      <c r="AC111" s="44">
        <f>IF(AQ111="1",BI111,0)</f>
        <v>0</v>
      </c>
      <c r="AD111" s="44">
        <f>IF(AQ111="7",BH111,0)</f>
        <v>0</v>
      </c>
      <c r="AE111" s="44">
        <f>IF(AQ111="7",BI111,0)</f>
        <v>0</v>
      </c>
      <c r="AF111" s="44">
        <f>IF(AQ111="2",BH111,0)</f>
        <v>0</v>
      </c>
      <c r="AG111" s="44">
        <f>IF(AQ111="2",BI111,0)</f>
        <v>0</v>
      </c>
      <c r="AH111" s="44">
        <f>IF(AQ111="0",BJ111,0)</f>
        <v>0</v>
      </c>
      <c r="AI111" s="43"/>
      <c r="AJ111" s="25">
        <f>IF(AN111=0,L111,0)</f>
        <v>0</v>
      </c>
      <c r="AK111" s="25">
        <f>IF(AN111=15,L111,0)</f>
        <v>0</v>
      </c>
      <c r="AL111" s="25">
        <f>IF(AN111=21,L111,0)</f>
        <v>0</v>
      </c>
      <c r="AN111" s="44">
        <v>21</v>
      </c>
      <c r="AO111" s="44">
        <f>I111*0.567365032455539</f>
        <v>0</v>
      </c>
      <c r="AP111" s="44">
        <f>I111*(1-0.567365032455539)</f>
        <v>0</v>
      </c>
      <c r="AQ111" s="45" t="s">
        <v>7</v>
      </c>
      <c r="AV111" s="44">
        <f>AW111+AX111</f>
        <v>0</v>
      </c>
      <c r="AW111" s="44">
        <f>H111*AO111</f>
        <v>0</v>
      </c>
      <c r="AX111" s="44">
        <f>H111*AP111</f>
        <v>0</v>
      </c>
      <c r="AY111" s="47" t="s">
        <v>262</v>
      </c>
      <c r="AZ111" s="47" t="s">
        <v>271</v>
      </c>
      <c r="BA111" s="43" t="s">
        <v>272</v>
      </c>
      <c r="BC111" s="44">
        <f>AW111+AX111</f>
        <v>0</v>
      </c>
      <c r="BD111" s="44">
        <f>I111/(100-BE111)*100</f>
        <v>0</v>
      </c>
      <c r="BE111" s="44">
        <v>0</v>
      </c>
      <c r="BF111" s="44">
        <f>111</f>
        <v>111</v>
      </c>
      <c r="BH111" s="25">
        <f>H111*AO111</f>
        <v>0</v>
      </c>
      <c r="BI111" s="25">
        <f>H111*AP111</f>
        <v>0</v>
      </c>
      <c r="BJ111" s="25">
        <f>H111*I111</f>
        <v>0</v>
      </c>
      <c r="BK111" s="25" t="s">
        <v>277</v>
      </c>
      <c r="BL111" s="44">
        <v>95</v>
      </c>
    </row>
    <row r="112" spans="1:14" ht="12.75">
      <c r="A112" s="5"/>
      <c r="C112" s="18" t="s">
        <v>202</v>
      </c>
      <c r="F112" s="20"/>
      <c r="H112" s="26">
        <v>32</v>
      </c>
      <c r="M112" s="38"/>
      <c r="N112" s="5"/>
    </row>
    <row r="113" spans="1:64" ht="12.75">
      <c r="A113" s="7" t="s">
        <v>45</v>
      </c>
      <c r="B113" s="16" t="s">
        <v>96</v>
      </c>
      <c r="C113" s="75" t="s">
        <v>203</v>
      </c>
      <c r="D113" s="76"/>
      <c r="E113" s="76"/>
      <c r="F113" s="76"/>
      <c r="G113" s="16" t="s">
        <v>219</v>
      </c>
      <c r="H113" s="27">
        <v>32</v>
      </c>
      <c r="I113" s="27">
        <v>0</v>
      </c>
      <c r="J113" s="27">
        <f>H113*AO113</f>
        <v>0</v>
      </c>
      <c r="K113" s="27">
        <f>H113*AP113</f>
        <v>0</v>
      </c>
      <c r="L113" s="27">
        <f>H113*I113</f>
        <v>0</v>
      </c>
      <c r="M113" s="40" t="s">
        <v>237</v>
      </c>
      <c r="N113" s="5"/>
      <c r="Z113" s="44">
        <f>IF(AQ113="5",BJ113,0)</f>
        <v>0</v>
      </c>
      <c r="AB113" s="44">
        <f>IF(AQ113="1",BH113,0)</f>
        <v>0</v>
      </c>
      <c r="AC113" s="44">
        <f>IF(AQ113="1",BI113,0)</f>
        <v>0</v>
      </c>
      <c r="AD113" s="44">
        <f>IF(AQ113="7",BH113,0)</f>
        <v>0</v>
      </c>
      <c r="AE113" s="44">
        <f>IF(AQ113="7",BI113,0)</f>
        <v>0</v>
      </c>
      <c r="AF113" s="44">
        <f>IF(AQ113="2",BH113,0)</f>
        <v>0</v>
      </c>
      <c r="AG113" s="44">
        <f>IF(AQ113="2",BI113,0)</f>
        <v>0</v>
      </c>
      <c r="AH113" s="44">
        <f>IF(AQ113="0",BJ113,0)</f>
        <v>0</v>
      </c>
      <c r="AI113" s="43"/>
      <c r="AJ113" s="27">
        <f>IF(AN113=0,L113,0)</f>
        <v>0</v>
      </c>
      <c r="AK113" s="27">
        <f>IF(AN113=15,L113,0)</f>
        <v>0</v>
      </c>
      <c r="AL113" s="27">
        <f>IF(AN113=21,L113,0)</f>
        <v>0</v>
      </c>
      <c r="AN113" s="44">
        <v>21</v>
      </c>
      <c r="AO113" s="44">
        <f>I113*1</f>
        <v>0</v>
      </c>
      <c r="AP113" s="44">
        <f>I113*(1-1)</f>
        <v>0</v>
      </c>
      <c r="AQ113" s="46" t="s">
        <v>7</v>
      </c>
      <c r="AV113" s="44">
        <f>AW113+AX113</f>
        <v>0</v>
      </c>
      <c r="AW113" s="44">
        <f>H113*AO113</f>
        <v>0</v>
      </c>
      <c r="AX113" s="44">
        <f>H113*AP113</f>
        <v>0</v>
      </c>
      <c r="AY113" s="47" t="s">
        <v>262</v>
      </c>
      <c r="AZ113" s="47" t="s">
        <v>271</v>
      </c>
      <c r="BA113" s="43" t="s">
        <v>272</v>
      </c>
      <c r="BC113" s="44">
        <f>AW113+AX113</f>
        <v>0</v>
      </c>
      <c r="BD113" s="44">
        <f>I113/(100-BE113)*100</f>
        <v>0</v>
      </c>
      <c r="BE113" s="44">
        <v>0</v>
      </c>
      <c r="BF113" s="44">
        <f>113</f>
        <v>113</v>
      </c>
      <c r="BH113" s="27">
        <f>H113*AO113</f>
        <v>0</v>
      </c>
      <c r="BI113" s="27">
        <f>H113*AP113</f>
        <v>0</v>
      </c>
      <c r="BJ113" s="27">
        <f>H113*I113</f>
        <v>0</v>
      </c>
      <c r="BK113" s="27" t="s">
        <v>278</v>
      </c>
      <c r="BL113" s="44">
        <v>95</v>
      </c>
    </row>
    <row r="114" spans="1:14" ht="12.75">
      <c r="A114" s="5"/>
      <c r="C114" s="18" t="s">
        <v>38</v>
      </c>
      <c r="F114" s="20"/>
      <c r="H114" s="26">
        <v>32</v>
      </c>
      <c r="M114" s="38"/>
      <c r="N114" s="5"/>
    </row>
    <row r="115" spans="1:64" ht="12.75">
      <c r="A115" s="7" t="s">
        <v>46</v>
      </c>
      <c r="B115" s="16" t="s">
        <v>97</v>
      </c>
      <c r="C115" s="75" t="s">
        <v>204</v>
      </c>
      <c r="D115" s="76"/>
      <c r="E115" s="76"/>
      <c r="F115" s="76"/>
      <c r="G115" s="16" t="s">
        <v>219</v>
      </c>
      <c r="H115" s="27">
        <v>32</v>
      </c>
      <c r="I115" s="27">
        <v>0</v>
      </c>
      <c r="J115" s="27">
        <f>H115*AO115</f>
        <v>0</v>
      </c>
      <c r="K115" s="27">
        <f>H115*AP115</f>
        <v>0</v>
      </c>
      <c r="L115" s="27">
        <f>H115*I115</f>
        <v>0</v>
      </c>
      <c r="M115" s="40" t="s">
        <v>237</v>
      </c>
      <c r="N115" s="5"/>
      <c r="Z115" s="44">
        <f>IF(AQ115="5",BJ115,0)</f>
        <v>0</v>
      </c>
      <c r="AB115" s="44">
        <f>IF(AQ115="1",BH115,0)</f>
        <v>0</v>
      </c>
      <c r="AC115" s="44">
        <f>IF(AQ115="1",BI115,0)</f>
        <v>0</v>
      </c>
      <c r="AD115" s="44">
        <f>IF(AQ115="7",BH115,0)</f>
        <v>0</v>
      </c>
      <c r="AE115" s="44">
        <f>IF(AQ115="7",BI115,0)</f>
        <v>0</v>
      </c>
      <c r="AF115" s="44">
        <f>IF(AQ115="2",BH115,0)</f>
        <v>0</v>
      </c>
      <c r="AG115" s="44">
        <f>IF(AQ115="2",BI115,0)</f>
        <v>0</v>
      </c>
      <c r="AH115" s="44">
        <f>IF(AQ115="0",BJ115,0)</f>
        <v>0</v>
      </c>
      <c r="AI115" s="43"/>
      <c r="AJ115" s="27">
        <f>IF(AN115=0,L115,0)</f>
        <v>0</v>
      </c>
      <c r="AK115" s="27">
        <f>IF(AN115=15,L115,0)</f>
        <v>0</v>
      </c>
      <c r="AL115" s="27">
        <f>IF(AN115=21,L115,0)</f>
        <v>0</v>
      </c>
      <c r="AN115" s="44">
        <v>21</v>
      </c>
      <c r="AO115" s="44">
        <f>I115*1</f>
        <v>0</v>
      </c>
      <c r="AP115" s="44">
        <f>I115*(1-1)</f>
        <v>0</v>
      </c>
      <c r="AQ115" s="46" t="s">
        <v>7</v>
      </c>
      <c r="AV115" s="44">
        <f>AW115+AX115</f>
        <v>0</v>
      </c>
      <c r="AW115" s="44">
        <f>H115*AO115</f>
        <v>0</v>
      </c>
      <c r="AX115" s="44">
        <f>H115*AP115</f>
        <v>0</v>
      </c>
      <c r="AY115" s="47" t="s">
        <v>262</v>
      </c>
      <c r="AZ115" s="47" t="s">
        <v>271</v>
      </c>
      <c r="BA115" s="43" t="s">
        <v>272</v>
      </c>
      <c r="BC115" s="44">
        <f>AW115+AX115</f>
        <v>0</v>
      </c>
      <c r="BD115" s="44">
        <f>I115/(100-BE115)*100</f>
        <v>0</v>
      </c>
      <c r="BE115" s="44">
        <v>0</v>
      </c>
      <c r="BF115" s="44">
        <f>115</f>
        <v>115</v>
      </c>
      <c r="BH115" s="27">
        <f>H115*AO115</f>
        <v>0</v>
      </c>
      <c r="BI115" s="27">
        <f>H115*AP115</f>
        <v>0</v>
      </c>
      <c r="BJ115" s="27">
        <f>H115*I115</f>
        <v>0</v>
      </c>
      <c r="BK115" s="27" t="s">
        <v>278</v>
      </c>
      <c r="BL115" s="44">
        <v>95</v>
      </c>
    </row>
    <row r="116" spans="1:64" ht="12.75">
      <c r="A116" s="4" t="s">
        <v>47</v>
      </c>
      <c r="B116" s="14" t="s">
        <v>98</v>
      </c>
      <c r="C116" s="67" t="s">
        <v>205</v>
      </c>
      <c r="D116" s="68"/>
      <c r="E116" s="68"/>
      <c r="F116" s="68"/>
      <c r="G116" s="14" t="s">
        <v>219</v>
      </c>
      <c r="H116" s="25">
        <v>16</v>
      </c>
      <c r="I116" s="25">
        <v>0</v>
      </c>
      <c r="J116" s="25">
        <f>H116*AO116</f>
        <v>0</v>
      </c>
      <c r="K116" s="25">
        <f>H116*AP116</f>
        <v>0</v>
      </c>
      <c r="L116" s="25">
        <f>H116*I116</f>
        <v>0</v>
      </c>
      <c r="M116" s="37"/>
      <c r="N116" s="5"/>
      <c r="Z116" s="44">
        <f>IF(AQ116="5",BJ116,0)</f>
        <v>0</v>
      </c>
      <c r="AB116" s="44">
        <f>IF(AQ116="1",BH116,0)</f>
        <v>0</v>
      </c>
      <c r="AC116" s="44">
        <f>IF(AQ116="1",BI116,0)</f>
        <v>0</v>
      </c>
      <c r="AD116" s="44">
        <f>IF(AQ116="7",BH116,0)</f>
        <v>0</v>
      </c>
      <c r="AE116" s="44">
        <f>IF(AQ116="7",BI116,0)</f>
        <v>0</v>
      </c>
      <c r="AF116" s="44">
        <f>IF(AQ116="2",BH116,0)</f>
        <v>0</v>
      </c>
      <c r="AG116" s="44">
        <f>IF(AQ116="2",BI116,0)</f>
        <v>0</v>
      </c>
      <c r="AH116" s="44">
        <f>IF(AQ116="0",BJ116,0)</f>
        <v>0</v>
      </c>
      <c r="AI116" s="43"/>
      <c r="AJ116" s="25">
        <f>IF(AN116=0,L116,0)</f>
        <v>0</v>
      </c>
      <c r="AK116" s="25">
        <f>IF(AN116=15,L116,0)</f>
        <v>0</v>
      </c>
      <c r="AL116" s="25">
        <f>IF(AN116=21,L116,0)</f>
        <v>0</v>
      </c>
      <c r="AN116" s="44">
        <v>21</v>
      </c>
      <c r="AO116" s="44">
        <f>I116*0.45562</f>
        <v>0</v>
      </c>
      <c r="AP116" s="44">
        <f>I116*(1-0.45562)</f>
        <v>0</v>
      </c>
      <c r="AQ116" s="45" t="s">
        <v>7</v>
      </c>
      <c r="AV116" s="44">
        <f>AW116+AX116</f>
        <v>0</v>
      </c>
      <c r="AW116" s="44">
        <f>H116*AO116</f>
        <v>0</v>
      </c>
      <c r="AX116" s="44">
        <f>H116*AP116</f>
        <v>0</v>
      </c>
      <c r="AY116" s="47" t="s">
        <v>262</v>
      </c>
      <c r="AZ116" s="47" t="s">
        <v>271</v>
      </c>
      <c r="BA116" s="43" t="s">
        <v>272</v>
      </c>
      <c r="BC116" s="44">
        <f>AW116+AX116</f>
        <v>0</v>
      </c>
      <c r="BD116" s="44">
        <f>I116/(100-BE116)*100</f>
        <v>0</v>
      </c>
      <c r="BE116" s="44">
        <v>0</v>
      </c>
      <c r="BF116" s="44">
        <f>116</f>
        <v>116</v>
      </c>
      <c r="BH116" s="25">
        <f>H116*AO116</f>
        <v>0</v>
      </c>
      <c r="BI116" s="25">
        <f>H116*AP116</f>
        <v>0</v>
      </c>
      <c r="BJ116" s="25">
        <f>H116*I116</f>
        <v>0</v>
      </c>
      <c r="BK116" s="25" t="s">
        <v>277</v>
      </c>
      <c r="BL116" s="44">
        <v>95</v>
      </c>
    </row>
    <row r="117" spans="1:47" ht="12.75">
      <c r="A117" s="6"/>
      <c r="B117" s="15" t="s">
        <v>99</v>
      </c>
      <c r="C117" s="73" t="s">
        <v>206</v>
      </c>
      <c r="D117" s="74"/>
      <c r="E117" s="74"/>
      <c r="F117" s="74"/>
      <c r="G117" s="23" t="s">
        <v>6</v>
      </c>
      <c r="H117" s="23" t="s">
        <v>6</v>
      </c>
      <c r="I117" s="23" t="s">
        <v>6</v>
      </c>
      <c r="J117" s="50">
        <f>SUM(J118:J118)</f>
        <v>0</v>
      </c>
      <c r="K117" s="50">
        <f>SUM(K118:K118)</f>
        <v>0</v>
      </c>
      <c r="L117" s="50">
        <f>SUM(L118:L118)</f>
        <v>0</v>
      </c>
      <c r="M117" s="39"/>
      <c r="N117" s="5"/>
      <c r="AI117" s="43"/>
      <c r="AS117" s="50">
        <f>SUM(AJ118:AJ118)</f>
        <v>0</v>
      </c>
      <c r="AT117" s="50">
        <f>SUM(AK118:AK118)</f>
        <v>0</v>
      </c>
      <c r="AU117" s="50">
        <f>SUM(AL118:AL118)</f>
        <v>0</v>
      </c>
    </row>
    <row r="118" spans="1:64" ht="12.75">
      <c r="A118" s="4" t="s">
        <v>48</v>
      </c>
      <c r="B118" s="14" t="s">
        <v>100</v>
      </c>
      <c r="C118" s="67" t="s">
        <v>207</v>
      </c>
      <c r="D118" s="68"/>
      <c r="E118" s="68"/>
      <c r="F118" s="68"/>
      <c r="G118" s="14" t="s">
        <v>217</v>
      </c>
      <c r="H118" s="25">
        <v>454.6875</v>
      </c>
      <c r="I118" s="25">
        <v>0</v>
      </c>
      <c r="J118" s="25">
        <f>H118*AO118</f>
        <v>0</v>
      </c>
      <c r="K118" s="25">
        <f>H118*AP118</f>
        <v>0</v>
      </c>
      <c r="L118" s="25">
        <f>H118*I118</f>
        <v>0</v>
      </c>
      <c r="M118" s="37" t="s">
        <v>237</v>
      </c>
      <c r="N118" s="5"/>
      <c r="Z118" s="44">
        <f>IF(AQ118="5",BJ118,0)</f>
        <v>0</v>
      </c>
      <c r="AB118" s="44">
        <f>IF(AQ118="1",BH118,0)</f>
        <v>0</v>
      </c>
      <c r="AC118" s="44">
        <f>IF(AQ118="1",BI118,0)</f>
        <v>0</v>
      </c>
      <c r="AD118" s="44">
        <f>IF(AQ118="7",BH118,0)</f>
        <v>0</v>
      </c>
      <c r="AE118" s="44">
        <f>IF(AQ118="7",BI118,0)</f>
        <v>0</v>
      </c>
      <c r="AF118" s="44">
        <f>IF(AQ118="2",BH118,0)</f>
        <v>0</v>
      </c>
      <c r="AG118" s="44">
        <f>IF(AQ118="2",BI118,0)</f>
        <v>0</v>
      </c>
      <c r="AH118" s="44">
        <f>IF(AQ118="0",BJ118,0)</f>
        <v>0</v>
      </c>
      <c r="AI118" s="43"/>
      <c r="AJ118" s="25">
        <f>IF(AN118=0,L118,0)</f>
        <v>0</v>
      </c>
      <c r="AK118" s="25">
        <f>IF(AN118=15,L118,0)</f>
        <v>0</v>
      </c>
      <c r="AL118" s="25">
        <f>IF(AN118=21,L118,0)</f>
        <v>0</v>
      </c>
      <c r="AN118" s="44">
        <v>21</v>
      </c>
      <c r="AO118" s="44">
        <f>I118*0</f>
        <v>0</v>
      </c>
      <c r="AP118" s="44">
        <f>I118*(1-0)</f>
        <v>0</v>
      </c>
      <c r="AQ118" s="45" t="s">
        <v>11</v>
      </c>
      <c r="AV118" s="44">
        <f>AW118+AX118</f>
        <v>0</v>
      </c>
      <c r="AW118" s="44">
        <f>H118*AO118</f>
        <v>0</v>
      </c>
      <c r="AX118" s="44">
        <f>H118*AP118</f>
        <v>0</v>
      </c>
      <c r="AY118" s="47" t="s">
        <v>263</v>
      </c>
      <c r="AZ118" s="47" t="s">
        <v>271</v>
      </c>
      <c r="BA118" s="43" t="s">
        <v>272</v>
      </c>
      <c r="BC118" s="44">
        <f>AW118+AX118</f>
        <v>0</v>
      </c>
      <c r="BD118" s="44">
        <f>I118/(100-BE118)*100</f>
        <v>0</v>
      </c>
      <c r="BE118" s="44">
        <v>0</v>
      </c>
      <c r="BF118" s="44">
        <f>118</f>
        <v>118</v>
      </c>
      <c r="BH118" s="25">
        <f>H118*AO118</f>
        <v>0</v>
      </c>
      <c r="BI118" s="25">
        <f>H118*AP118</f>
        <v>0</v>
      </c>
      <c r="BJ118" s="25">
        <f>H118*I118</f>
        <v>0</v>
      </c>
      <c r="BK118" s="25" t="s">
        <v>277</v>
      </c>
      <c r="BL118" s="44" t="s">
        <v>99</v>
      </c>
    </row>
    <row r="119" spans="1:14" ht="12.75">
      <c r="A119" s="8"/>
      <c r="B119" s="17"/>
      <c r="C119" s="19" t="s">
        <v>208</v>
      </c>
      <c r="D119" s="17"/>
      <c r="E119" s="17"/>
      <c r="F119" s="21"/>
      <c r="G119" s="17"/>
      <c r="H119" s="28">
        <v>454.6875</v>
      </c>
      <c r="I119" s="17"/>
      <c r="J119" s="17"/>
      <c r="K119" s="17"/>
      <c r="L119" s="17"/>
      <c r="M119" s="41"/>
      <c r="N119" s="5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69" t="s">
        <v>232</v>
      </c>
      <c r="K120" s="70"/>
      <c r="L120" s="51">
        <f>L12+L17+L27+L32+L35+L38+L44+L51+L54+L57+L60+L66+L85+L108+L110+L117</f>
        <v>0</v>
      </c>
      <c r="M120" s="9"/>
    </row>
    <row r="121" ht="11.25" customHeight="1">
      <c r="A121" s="10" t="s">
        <v>49</v>
      </c>
    </row>
    <row r="122" spans="1:13" ht="12.75">
      <c r="A122" s="71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</sheetData>
  <mergeCells count="88">
    <mergeCell ref="J4:M5"/>
    <mergeCell ref="A1:M1"/>
    <mergeCell ref="A2:B3"/>
    <mergeCell ref="C2:D3"/>
    <mergeCell ref="E2:F3"/>
    <mergeCell ref="G2:H3"/>
    <mergeCell ref="I2:I3"/>
    <mergeCell ref="J2:M3"/>
    <mergeCell ref="A4:B5"/>
    <mergeCell ref="C4:D5"/>
    <mergeCell ref="E4:F5"/>
    <mergeCell ref="G4:H5"/>
    <mergeCell ref="I4:I5"/>
    <mergeCell ref="I8:I9"/>
    <mergeCell ref="J8:M9"/>
    <mergeCell ref="A6:B7"/>
    <mergeCell ref="C6:D7"/>
    <mergeCell ref="E6:F7"/>
    <mergeCell ref="G6:H7"/>
    <mergeCell ref="I6:I7"/>
    <mergeCell ref="J6:M7"/>
    <mergeCell ref="C15:F15"/>
    <mergeCell ref="A8:B9"/>
    <mergeCell ref="C8:D9"/>
    <mergeCell ref="E8:F9"/>
    <mergeCell ref="G8:H9"/>
    <mergeCell ref="C10:F10"/>
    <mergeCell ref="J10:L10"/>
    <mergeCell ref="C11:F11"/>
    <mergeCell ref="C12:F12"/>
    <mergeCell ref="C13:F13"/>
    <mergeCell ref="C36:F36"/>
    <mergeCell ref="C17:F17"/>
    <mergeCell ref="C18:F18"/>
    <mergeCell ref="C20:F20"/>
    <mergeCell ref="C23:F23"/>
    <mergeCell ref="C25:F25"/>
    <mergeCell ref="C27:F27"/>
    <mergeCell ref="C28:F28"/>
    <mergeCell ref="C30:F30"/>
    <mergeCell ref="C32:F32"/>
    <mergeCell ref="C33:F33"/>
    <mergeCell ref="C35:F35"/>
    <mergeCell ref="C60:F60"/>
    <mergeCell ref="C38:F38"/>
    <mergeCell ref="C39:F39"/>
    <mergeCell ref="C44:F44"/>
    <mergeCell ref="C45:F45"/>
    <mergeCell ref="C49:F49"/>
    <mergeCell ref="C51:F51"/>
    <mergeCell ref="C52:F52"/>
    <mergeCell ref="C54:F54"/>
    <mergeCell ref="C55:F55"/>
    <mergeCell ref="C57:F57"/>
    <mergeCell ref="C58:F58"/>
    <mergeCell ref="C84:F84"/>
    <mergeCell ref="C61:F61"/>
    <mergeCell ref="C64:F64"/>
    <mergeCell ref="C66:F66"/>
    <mergeCell ref="C67:F67"/>
    <mergeCell ref="C70:F70"/>
    <mergeCell ref="C72:F72"/>
    <mergeCell ref="C74:F74"/>
    <mergeCell ref="C76:F76"/>
    <mergeCell ref="C78:F78"/>
    <mergeCell ref="C80:F80"/>
    <mergeCell ref="C82:F82"/>
    <mergeCell ref="C109:F109"/>
    <mergeCell ref="C85:F85"/>
    <mergeCell ref="C86:F86"/>
    <mergeCell ref="C93:F93"/>
    <mergeCell ref="C95:F95"/>
    <mergeCell ref="C97:F97"/>
    <mergeCell ref="C99:F99"/>
    <mergeCell ref="C101:F101"/>
    <mergeCell ref="C103:F103"/>
    <mergeCell ref="C105:F105"/>
    <mergeCell ref="C107:F107"/>
    <mergeCell ref="C108:F108"/>
    <mergeCell ref="C118:F118"/>
    <mergeCell ref="J120:K120"/>
    <mergeCell ref="A122:M122"/>
    <mergeCell ref="C110:F110"/>
    <mergeCell ref="C111:F111"/>
    <mergeCell ref="C113:F113"/>
    <mergeCell ref="C115:F115"/>
    <mergeCell ref="C116:F116"/>
    <mergeCell ref="C117:F117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66"/>
      <c r="B1" s="17"/>
      <c r="C1" s="128" t="s">
        <v>295</v>
      </c>
      <c r="D1" s="96"/>
      <c r="E1" s="96"/>
      <c r="F1" s="96"/>
      <c r="G1" s="96"/>
      <c r="H1" s="96"/>
      <c r="I1" s="96"/>
    </row>
    <row r="2" spans="1:10" ht="12.75">
      <c r="A2" s="97" t="s">
        <v>1</v>
      </c>
      <c r="B2" s="98"/>
      <c r="C2" s="99" t="str">
        <f>'Stavební rozpočet'!C2</f>
        <v>AREÁL HAMR - SBĚRNÝ DVŮR - dokumentace pro provedení stavby</v>
      </c>
      <c r="D2" s="70"/>
      <c r="E2" s="102" t="s">
        <v>222</v>
      </c>
      <c r="F2" s="102" t="str">
        <f>'Stavební rozpočet'!J2</f>
        <v> </v>
      </c>
      <c r="G2" s="98"/>
      <c r="H2" s="102" t="s">
        <v>320</v>
      </c>
      <c r="I2" s="129"/>
      <c r="J2" s="5"/>
    </row>
    <row r="3" spans="1:10" ht="25.7" customHeight="1">
      <c r="A3" s="94"/>
      <c r="B3" s="72"/>
      <c r="C3" s="100"/>
      <c r="D3" s="100"/>
      <c r="E3" s="72"/>
      <c r="F3" s="72"/>
      <c r="G3" s="72"/>
      <c r="H3" s="72"/>
      <c r="I3" s="92"/>
      <c r="J3" s="5"/>
    </row>
    <row r="4" spans="1:10" ht="12.75">
      <c r="A4" s="88" t="s">
        <v>2</v>
      </c>
      <c r="B4" s="72"/>
      <c r="C4" s="71" t="str">
        <f>'Stavební rozpočet'!C4</f>
        <v>SO 03  KÓJE A PŘESTŘEŠENÍ</v>
      </c>
      <c r="D4" s="72"/>
      <c r="E4" s="71" t="s">
        <v>223</v>
      </c>
      <c r="F4" s="71" t="str">
        <f>'Stavební rozpočet'!J4</f>
        <v> </v>
      </c>
      <c r="G4" s="72"/>
      <c r="H4" s="71" t="s">
        <v>320</v>
      </c>
      <c r="I4" s="127"/>
      <c r="J4" s="5"/>
    </row>
    <row r="5" spans="1:10" ht="12.75">
      <c r="A5" s="94"/>
      <c r="B5" s="72"/>
      <c r="C5" s="72"/>
      <c r="D5" s="72"/>
      <c r="E5" s="72"/>
      <c r="F5" s="72"/>
      <c r="G5" s="72"/>
      <c r="H5" s="72"/>
      <c r="I5" s="92"/>
      <c r="J5" s="5"/>
    </row>
    <row r="6" spans="1:10" ht="12.75">
      <c r="A6" s="88" t="s">
        <v>3</v>
      </c>
      <c r="B6" s="72"/>
      <c r="C6" s="71" t="str">
        <f>'Stavební rozpočet'!C6</f>
        <v>Hamr</v>
      </c>
      <c r="D6" s="72"/>
      <c r="E6" s="71" t="s">
        <v>224</v>
      </c>
      <c r="F6" s="71" t="str">
        <f>'Stavební rozpočet'!J6</f>
        <v> </v>
      </c>
      <c r="G6" s="72"/>
      <c r="H6" s="71" t="s">
        <v>320</v>
      </c>
      <c r="I6" s="127"/>
      <c r="J6" s="5"/>
    </row>
    <row r="7" spans="1:10" ht="12.75">
      <c r="A7" s="94"/>
      <c r="B7" s="72"/>
      <c r="C7" s="72"/>
      <c r="D7" s="72"/>
      <c r="E7" s="72"/>
      <c r="F7" s="72"/>
      <c r="G7" s="72"/>
      <c r="H7" s="72"/>
      <c r="I7" s="92"/>
      <c r="J7" s="5"/>
    </row>
    <row r="8" spans="1:10" ht="12.75">
      <c r="A8" s="88" t="s">
        <v>210</v>
      </c>
      <c r="B8" s="72"/>
      <c r="C8" s="71" t="str">
        <f>'Stavební rozpočet'!G4</f>
        <v xml:space="preserve"> </v>
      </c>
      <c r="D8" s="72"/>
      <c r="E8" s="71" t="s">
        <v>211</v>
      </c>
      <c r="F8" s="71" t="str">
        <f>'Stavební rozpočet'!G6</f>
        <v xml:space="preserve"> </v>
      </c>
      <c r="G8" s="72"/>
      <c r="H8" s="91" t="s">
        <v>321</v>
      </c>
      <c r="I8" s="127" t="s">
        <v>48</v>
      </c>
      <c r="J8" s="5"/>
    </row>
    <row r="9" spans="1:10" ht="12.75">
      <c r="A9" s="94"/>
      <c r="B9" s="72"/>
      <c r="C9" s="72"/>
      <c r="D9" s="72"/>
      <c r="E9" s="72"/>
      <c r="F9" s="72"/>
      <c r="G9" s="72"/>
      <c r="H9" s="72"/>
      <c r="I9" s="92"/>
      <c r="J9" s="5"/>
    </row>
    <row r="10" spans="1:10" ht="12.75">
      <c r="A10" s="88" t="s">
        <v>4</v>
      </c>
      <c r="B10" s="72"/>
      <c r="C10" s="71" t="str">
        <f>'Stavební rozpočet'!C8</f>
        <v xml:space="preserve"> </v>
      </c>
      <c r="D10" s="72"/>
      <c r="E10" s="71" t="s">
        <v>225</v>
      </c>
      <c r="F10" s="71" t="str">
        <f>'Stavební rozpočet'!J8</f>
        <v>Kamila Možná, 604833924</v>
      </c>
      <c r="G10" s="72"/>
      <c r="H10" s="91" t="s">
        <v>322</v>
      </c>
      <c r="I10" s="125" t="str">
        <f>'Stavební rozpočet'!G8</f>
        <v>24.10.2022</v>
      </c>
      <c r="J10" s="5"/>
    </row>
    <row r="11" spans="1:10" ht="12.75">
      <c r="A11" s="123"/>
      <c r="B11" s="124"/>
      <c r="C11" s="124"/>
      <c r="D11" s="124"/>
      <c r="E11" s="124"/>
      <c r="F11" s="124"/>
      <c r="G11" s="124"/>
      <c r="H11" s="124"/>
      <c r="I11" s="126"/>
      <c r="J11" s="5"/>
    </row>
    <row r="12" spans="1:9" ht="23.45" customHeight="1">
      <c r="A12" s="119" t="s">
        <v>280</v>
      </c>
      <c r="B12" s="120"/>
      <c r="C12" s="120"/>
      <c r="D12" s="120"/>
      <c r="E12" s="120"/>
      <c r="F12" s="120"/>
      <c r="G12" s="120"/>
      <c r="H12" s="120"/>
      <c r="I12" s="120"/>
    </row>
    <row r="13" spans="1:10" ht="26.45" customHeight="1">
      <c r="A13" s="52" t="s">
        <v>281</v>
      </c>
      <c r="B13" s="121" t="s">
        <v>293</v>
      </c>
      <c r="C13" s="122"/>
      <c r="D13" s="52" t="s">
        <v>296</v>
      </c>
      <c r="E13" s="121" t="s">
        <v>305</v>
      </c>
      <c r="F13" s="122"/>
      <c r="G13" s="52" t="s">
        <v>306</v>
      </c>
      <c r="H13" s="121" t="s">
        <v>323</v>
      </c>
      <c r="I13" s="122"/>
      <c r="J13" s="5"/>
    </row>
    <row r="14" spans="1:10" ht="15.2" customHeight="1">
      <c r="A14" s="53" t="s">
        <v>282</v>
      </c>
      <c r="B14" s="57" t="s">
        <v>294</v>
      </c>
      <c r="C14" s="60">
        <f>SUM('Stavební rozpočet'!AB12:AB119)</f>
        <v>0</v>
      </c>
      <c r="D14" s="117" t="s">
        <v>297</v>
      </c>
      <c r="E14" s="118"/>
      <c r="F14" s="60">
        <v>0</v>
      </c>
      <c r="G14" s="117" t="s">
        <v>307</v>
      </c>
      <c r="H14" s="118"/>
      <c r="I14" s="61" t="s">
        <v>324</v>
      </c>
      <c r="J14" s="5"/>
    </row>
    <row r="15" spans="1:10" ht="15.2" customHeight="1">
      <c r="A15" s="54"/>
      <c r="B15" s="57" t="s">
        <v>233</v>
      </c>
      <c r="C15" s="60">
        <f>SUM('Stavební rozpočet'!AC12:AC119)</f>
        <v>0</v>
      </c>
      <c r="D15" s="117" t="s">
        <v>298</v>
      </c>
      <c r="E15" s="118"/>
      <c r="F15" s="60">
        <v>0</v>
      </c>
      <c r="G15" s="117" t="s">
        <v>308</v>
      </c>
      <c r="H15" s="118"/>
      <c r="I15" s="61" t="s">
        <v>324</v>
      </c>
      <c r="J15" s="5"/>
    </row>
    <row r="16" spans="1:10" ht="15.2" customHeight="1">
      <c r="A16" s="53" t="s">
        <v>283</v>
      </c>
      <c r="B16" s="57" t="s">
        <v>294</v>
      </c>
      <c r="C16" s="60">
        <f>SUM('Stavební rozpočet'!AD12:AD119)</f>
        <v>0</v>
      </c>
      <c r="D16" s="117" t="s">
        <v>299</v>
      </c>
      <c r="E16" s="118"/>
      <c r="F16" s="60">
        <v>0</v>
      </c>
      <c r="G16" s="117" t="s">
        <v>309</v>
      </c>
      <c r="H16" s="118"/>
      <c r="I16" s="61" t="s">
        <v>324</v>
      </c>
      <c r="J16" s="5"/>
    </row>
    <row r="17" spans="1:10" ht="15.2" customHeight="1">
      <c r="A17" s="54"/>
      <c r="B17" s="57" t="s">
        <v>233</v>
      </c>
      <c r="C17" s="60">
        <f>SUM('Stavební rozpočet'!AE12:AE119)</f>
        <v>0</v>
      </c>
      <c r="D17" s="117"/>
      <c r="E17" s="118"/>
      <c r="F17" s="61"/>
      <c r="G17" s="117" t="s">
        <v>310</v>
      </c>
      <c r="H17" s="118"/>
      <c r="I17" s="61" t="s">
        <v>324</v>
      </c>
      <c r="J17" s="5"/>
    </row>
    <row r="18" spans="1:10" ht="15.2" customHeight="1">
      <c r="A18" s="53" t="s">
        <v>284</v>
      </c>
      <c r="B18" s="57" t="s">
        <v>294</v>
      </c>
      <c r="C18" s="60">
        <f>SUM('Stavební rozpočet'!AF12:AF119)</f>
        <v>0</v>
      </c>
      <c r="D18" s="117"/>
      <c r="E18" s="118"/>
      <c r="F18" s="61"/>
      <c r="G18" s="117" t="s">
        <v>311</v>
      </c>
      <c r="H18" s="118"/>
      <c r="I18" s="61" t="s">
        <v>324</v>
      </c>
      <c r="J18" s="5"/>
    </row>
    <row r="19" spans="1:10" ht="15.2" customHeight="1">
      <c r="A19" s="54"/>
      <c r="B19" s="57" t="s">
        <v>233</v>
      </c>
      <c r="C19" s="60">
        <f>SUM('Stavební rozpočet'!AG12:AG119)</f>
        <v>0</v>
      </c>
      <c r="D19" s="117"/>
      <c r="E19" s="118"/>
      <c r="F19" s="61"/>
      <c r="G19" s="117" t="s">
        <v>312</v>
      </c>
      <c r="H19" s="118"/>
      <c r="I19" s="61" t="s">
        <v>324</v>
      </c>
      <c r="J19" s="5"/>
    </row>
    <row r="20" spans="1:10" ht="15.2" customHeight="1">
      <c r="A20" s="115" t="s">
        <v>285</v>
      </c>
      <c r="B20" s="116"/>
      <c r="C20" s="60">
        <f>SUM('Stavební rozpočet'!AH12:AH119)</f>
        <v>0</v>
      </c>
      <c r="D20" s="117"/>
      <c r="E20" s="118"/>
      <c r="F20" s="61"/>
      <c r="G20" s="117"/>
      <c r="H20" s="118"/>
      <c r="I20" s="61"/>
      <c r="J20" s="5"/>
    </row>
    <row r="21" spans="1:10" ht="15.2" customHeight="1">
      <c r="A21" s="115" t="s">
        <v>286</v>
      </c>
      <c r="B21" s="116"/>
      <c r="C21" s="60">
        <f>SUM('Stavební rozpočet'!Z12:Z119)</f>
        <v>0</v>
      </c>
      <c r="D21" s="117"/>
      <c r="E21" s="118"/>
      <c r="F21" s="61"/>
      <c r="G21" s="117"/>
      <c r="H21" s="118"/>
      <c r="I21" s="61"/>
      <c r="J21" s="5"/>
    </row>
    <row r="22" spans="1:10" ht="16.7" customHeight="1">
      <c r="A22" s="115" t="s">
        <v>287</v>
      </c>
      <c r="B22" s="116"/>
      <c r="C22" s="60">
        <f>SUM(C14:C21)</f>
        <v>0</v>
      </c>
      <c r="D22" s="115" t="s">
        <v>300</v>
      </c>
      <c r="E22" s="116"/>
      <c r="F22" s="60">
        <f>SUM(F14:F21)</f>
        <v>0</v>
      </c>
      <c r="G22" s="115" t="s">
        <v>313</v>
      </c>
      <c r="H22" s="116"/>
      <c r="I22" s="60">
        <f>SUM(I14:I21)</f>
        <v>0</v>
      </c>
      <c r="J22" s="5"/>
    </row>
    <row r="23" spans="1:10" ht="15.2" customHeight="1">
      <c r="A23" s="9"/>
      <c r="B23" s="9"/>
      <c r="C23" s="59"/>
      <c r="D23" s="115" t="s">
        <v>301</v>
      </c>
      <c r="E23" s="116"/>
      <c r="F23" s="62">
        <v>0</v>
      </c>
      <c r="G23" s="115" t="s">
        <v>314</v>
      </c>
      <c r="H23" s="116"/>
      <c r="I23" s="60">
        <v>0</v>
      </c>
      <c r="J23" s="5"/>
    </row>
    <row r="24" spans="4:9" ht="15.2" customHeight="1">
      <c r="D24" s="9"/>
      <c r="E24" s="9"/>
      <c r="F24" s="63"/>
      <c r="G24" s="115" t="s">
        <v>315</v>
      </c>
      <c r="H24" s="116"/>
      <c r="I24" s="64"/>
    </row>
    <row r="25" spans="6:10" ht="15.2" customHeight="1">
      <c r="F25" s="38"/>
      <c r="G25" s="115" t="s">
        <v>316</v>
      </c>
      <c r="H25" s="116"/>
      <c r="I25" s="60">
        <v>0</v>
      </c>
      <c r="J25" s="5"/>
    </row>
    <row r="26" spans="1:9" ht="12.75">
      <c r="A26" s="17"/>
      <c r="B26" s="17"/>
      <c r="C26" s="17"/>
      <c r="G26" s="9"/>
      <c r="H26" s="9"/>
      <c r="I26" s="9"/>
    </row>
    <row r="27" spans="1:9" ht="15.2" customHeight="1">
      <c r="A27" s="110" t="s">
        <v>288</v>
      </c>
      <c r="B27" s="111"/>
      <c r="C27" s="65">
        <f>SUM('Stavební rozpočet'!AJ12:AJ119)</f>
        <v>0</v>
      </c>
      <c r="D27" s="8"/>
      <c r="E27" s="17"/>
      <c r="F27" s="17"/>
      <c r="G27" s="17"/>
      <c r="H27" s="17"/>
      <c r="I27" s="17"/>
    </row>
    <row r="28" spans="1:10" ht="15.2" customHeight="1">
      <c r="A28" s="110" t="s">
        <v>289</v>
      </c>
      <c r="B28" s="111"/>
      <c r="C28" s="65">
        <f>SUM('Stavební rozpočet'!AK12:AK119)</f>
        <v>0</v>
      </c>
      <c r="D28" s="110" t="s">
        <v>302</v>
      </c>
      <c r="E28" s="111"/>
      <c r="F28" s="65">
        <f>ROUND(C28*(15/100),2)</f>
        <v>0</v>
      </c>
      <c r="G28" s="110" t="s">
        <v>317</v>
      </c>
      <c r="H28" s="111"/>
      <c r="I28" s="65">
        <f>SUM(C27:C29)</f>
        <v>0</v>
      </c>
      <c r="J28" s="5"/>
    </row>
    <row r="29" spans="1:10" ht="15.2" customHeight="1">
      <c r="A29" s="110" t="s">
        <v>290</v>
      </c>
      <c r="B29" s="111"/>
      <c r="C29" s="65">
        <f>SUM('Stavební rozpočet'!AL12:AL119)+(F22+I22+F23+I23+I24+I25)</f>
        <v>0</v>
      </c>
      <c r="D29" s="110" t="s">
        <v>303</v>
      </c>
      <c r="E29" s="111"/>
      <c r="F29" s="65">
        <f>ROUND(C29*(21/100),2)</f>
        <v>0</v>
      </c>
      <c r="G29" s="110" t="s">
        <v>318</v>
      </c>
      <c r="H29" s="111"/>
      <c r="I29" s="65">
        <f>SUM(F28:F29)+I28</f>
        <v>0</v>
      </c>
      <c r="J29" s="5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10" ht="14.45" customHeight="1">
      <c r="A31" s="112" t="s">
        <v>291</v>
      </c>
      <c r="B31" s="113"/>
      <c r="C31" s="114"/>
      <c r="D31" s="112" t="s">
        <v>304</v>
      </c>
      <c r="E31" s="113"/>
      <c r="F31" s="114"/>
      <c r="G31" s="112" t="s">
        <v>319</v>
      </c>
      <c r="H31" s="113"/>
      <c r="I31" s="114"/>
      <c r="J31" s="42"/>
    </row>
    <row r="32" spans="1:10" ht="14.45" customHeight="1">
      <c r="A32" s="104"/>
      <c r="B32" s="105"/>
      <c r="C32" s="106"/>
      <c r="D32" s="104"/>
      <c r="E32" s="105"/>
      <c r="F32" s="106"/>
      <c r="G32" s="104"/>
      <c r="H32" s="105"/>
      <c r="I32" s="106"/>
      <c r="J32" s="42"/>
    </row>
    <row r="33" spans="1:10" ht="14.45" customHeight="1">
      <c r="A33" s="104"/>
      <c r="B33" s="105"/>
      <c r="C33" s="106"/>
      <c r="D33" s="104"/>
      <c r="E33" s="105"/>
      <c r="F33" s="106"/>
      <c r="G33" s="104"/>
      <c r="H33" s="105"/>
      <c r="I33" s="106"/>
      <c r="J33" s="42"/>
    </row>
    <row r="34" spans="1:10" ht="14.45" customHeight="1">
      <c r="A34" s="104"/>
      <c r="B34" s="105"/>
      <c r="C34" s="106"/>
      <c r="D34" s="104"/>
      <c r="E34" s="105"/>
      <c r="F34" s="106"/>
      <c r="G34" s="104"/>
      <c r="H34" s="105"/>
      <c r="I34" s="106"/>
      <c r="J34" s="42"/>
    </row>
    <row r="35" spans="1:10" ht="14.45" customHeight="1">
      <c r="A35" s="107" t="s">
        <v>292</v>
      </c>
      <c r="B35" s="108"/>
      <c r="C35" s="109"/>
      <c r="D35" s="107" t="s">
        <v>292</v>
      </c>
      <c r="E35" s="108"/>
      <c r="F35" s="109"/>
      <c r="G35" s="107" t="s">
        <v>292</v>
      </c>
      <c r="H35" s="108"/>
      <c r="I35" s="109"/>
      <c r="J35" s="42"/>
    </row>
    <row r="36" spans="1:9" ht="11.25" customHeight="1">
      <c r="A36" s="56" t="s">
        <v>49</v>
      </c>
      <c r="B36" s="58"/>
      <c r="C36" s="58"/>
      <c r="D36" s="58"/>
      <c r="E36" s="58"/>
      <c r="F36" s="58"/>
      <c r="G36" s="58"/>
      <c r="H36" s="58"/>
      <c r="I36" s="58"/>
    </row>
    <row r="37" spans="1:9" ht="12.75">
      <c r="A37" s="71"/>
      <c r="B37" s="72"/>
      <c r="C37" s="72"/>
      <c r="D37" s="72"/>
      <c r="E37" s="72"/>
      <c r="F37" s="72"/>
      <c r="G37" s="72"/>
      <c r="H37" s="72"/>
      <c r="I37" s="72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Blovska Jitka</cp:lastModifiedBy>
  <dcterms:created xsi:type="dcterms:W3CDTF">2022-10-24T12:48:07Z</dcterms:created>
  <dcterms:modified xsi:type="dcterms:W3CDTF">2022-10-25T12:28:40Z</dcterms:modified>
  <cp:category/>
  <cp:version/>
  <cp:contentType/>
  <cp:contentStatus/>
</cp:coreProperties>
</file>